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M:\Pricing-Rates\Electric\2026\E112-ATRR Annual Update\"/>
    </mc:Choice>
  </mc:AlternateContent>
  <xr:revisionPtr revIDLastSave="0" documentId="13_ncr:1_{0C11FCAF-2B25-4CC2-8CFD-F06A79DC14CA}" xr6:coauthVersionLast="47" xr6:coauthVersionMax="47" xr10:uidLastSave="{00000000-0000-0000-0000-000000000000}"/>
  <bookViews>
    <workbookView xWindow="-120" yWindow="-120" windowWidth="29040" windowHeight="15720" tabRatio="867" xr2:uid="{00000000-000D-0000-FFFF-FFFF00000000}"/>
  </bookViews>
  <sheets>
    <sheet name="TOC" sheetId="5" r:id="rId1"/>
    <sheet name="WP1 Load Divisor" sheetId="12" r:id="rId2"/>
    <sheet name="WP2 O&amp;M - A&amp;G" sheetId="35" r:id="rId3"/>
    <sheet name="WP3 Elec Plant Summary" sheetId="20" r:id="rId4"/>
    <sheet name="WP4 Elec Plant YE" sheetId="21" r:id="rId5"/>
    <sheet name="WP5 Elec Plant 13-mo" sheetId="26" r:id="rId6"/>
    <sheet name="WP6 Capital Projects" sheetId="27" r:id="rId7"/>
    <sheet name="WP7 Debt Service and Interest" sheetId="30" r:id="rId8"/>
    <sheet name="WP8 Amortization of prem or dis" sheetId="29" r:id="rId9"/>
    <sheet name="WP9 Bond Issu Amort Exp Detail" sheetId="28" r:id="rId10"/>
    <sheet name="WP10 Account 456.1" sheetId="31" r:id="rId11"/>
    <sheet name="WP11 Misc Support" sheetId="32" r:id="rId12"/>
    <sheet name="Capital - Depreciation" sheetId="8" state="hidden" r:id="rId13"/>
  </sheets>
  <definedNames>
    <definedName name="\p">#REF!</definedName>
    <definedName name="__123Graph_A" hidden="1">#REF!</definedName>
    <definedName name="__123Graph_A1991" hidden="1">#REF!</definedName>
    <definedName name="__123Graph_A1992" hidden="1">#REF!</definedName>
    <definedName name="__123Graph_A1993" hidden="1">#REF!</definedName>
    <definedName name="__123Graph_A1994" hidden="1">#REF!</definedName>
    <definedName name="__123Graph_A1995" hidden="1">#REF!</definedName>
    <definedName name="__123Graph_A1996" hidden="1">#REF!</definedName>
    <definedName name="__123Graph_ABAR" hidden="1">#REF!</definedName>
    <definedName name="__123Graph_B" hidden="1">#REF!</definedName>
    <definedName name="__123Graph_B1991" hidden="1">#REF!</definedName>
    <definedName name="__123Graph_B1992" hidden="1">#REF!</definedName>
    <definedName name="__123Graph_B1993" hidden="1">#REF!</definedName>
    <definedName name="__123Graph_B1994" hidden="1">#REF!</definedName>
    <definedName name="__123Graph_B1995" hidden="1">#REF!</definedName>
    <definedName name="__123Graph_B1996" hidden="1">#REF!</definedName>
    <definedName name="__123Graph_BBAR" hidden="1">#REF!</definedName>
    <definedName name="__123Graph_CBAR" hidden="1">#REF!</definedName>
    <definedName name="__123Graph_DBAR" hidden="1">#REF!</definedName>
    <definedName name="__123Graph_EBAR" hidden="1">#REF!</definedName>
    <definedName name="__123Graph_FBAR" hidden="1">#REF!</definedName>
    <definedName name="__123Graph_X" hidden="1">#REF!</definedName>
    <definedName name="__123Graph_X1991" hidden="1">#REF!</definedName>
    <definedName name="__123Graph_X1992" hidden="1">#REF!</definedName>
    <definedName name="__123Graph_X1993" hidden="1">#REF!</definedName>
    <definedName name="__123Graph_X1994" hidden="1">#REF!</definedName>
    <definedName name="__123Graph_X1995" hidden="1">#REF!</definedName>
    <definedName name="__123Graph_X1996" hidden="1">#REF!</definedName>
    <definedName name="_Check_Input">#REF!</definedName>
    <definedName name="_Checks">#REF!</definedName>
    <definedName name="_CurrCase">#REF!</definedName>
    <definedName name="_Data_Query">#REF!</definedName>
    <definedName name="_Data_Query2">#REF!</definedName>
    <definedName name="_End_Yr">#REF!</definedName>
    <definedName name="_EndYr2">#REF!</definedName>
    <definedName name="_FC_ID">#REF!</definedName>
    <definedName name="_FC_Query">#REF!</definedName>
    <definedName name="_FC_Table">#REF!</definedName>
    <definedName name="_FEB01" localSheetId="7" hidden="1">{#N/A,#N/A,FALSE,"EMPPAY"}</definedName>
    <definedName name="_FEB01" localSheetId="8" hidden="1">{#N/A,#N/A,FALSE,"EMPPAY"}</definedName>
    <definedName name="_FEB01" hidden="1">{#N/A,#N/A,FALSE,"EMPPAY"}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4" hidden="1">'WP4 Elec Plant YE'!$C$9:$I$122</definedName>
    <definedName name="_xlnm._FilterDatabase" localSheetId="5" hidden="1">'WP5 Elec Plant 13-mo'!$A$9:$AP$68</definedName>
    <definedName name="_xlnm._FilterDatabase" localSheetId="6" hidden="1">'WP6 Capital Projects'!$A$8:$O$75</definedName>
    <definedName name="_JAN01" localSheetId="7" hidden="1">{#N/A,#N/A,FALSE,"EMPPAY"}</definedName>
    <definedName name="_JAN01" localSheetId="8" hidden="1">{#N/A,#N/A,FALSE,"EMPPAY"}</definedName>
    <definedName name="_JAN01" hidden="1">{#N/A,#N/A,FALSE,"EMPPAY"}</definedName>
    <definedName name="_JAN2001" localSheetId="7" hidden="1">{#N/A,#N/A,FALSE,"EMPPAY"}</definedName>
    <definedName name="_JAN2001" localSheetId="8" hidden="1">{#N/A,#N/A,FALSE,"EMPPAY"}</definedName>
    <definedName name="_JAN2001" hidden="1">{#N/A,#N/A,FALSE,"EMPPAY"}</definedName>
    <definedName name="_Key1" localSheetId="7" hidden="1">#REF!</definedName>
    <definedName name="_Key1" localSheetId="8" hidden="1">#REF!</definedName>
    <definedName name="_Key1" hidden="1">#REF!</definedName>
    <definedName name="_Meter_Pt">#REF!</definedName>
    <definedName name="_Order1" hidden="1">255</definedName>
    <definedName name="_Query1a">#REF!</definedName>
    <definedName name="_Query1b">#REF!</definedName>
    <definedName name="_Query2a">#REF!</definedName>
    <definedName name="_Query2b">#REF!</definedName>
    <definedName name="_RunCase">#REF!</definedName>
    <definedName name="_Sort" localSheetId="7" hidden="1">#REF!</definedName>
    <definedName name="_Sort" localSheetId="8" hidden="1">#REF!</definedName>
    <definedName name="_Sort" hidden="1">#REF!</definedName>
    <definedName name="_Split_Mthd">#REF!</definedName>
    <definedName name="_Start_Yr">#REF!</definedName>
    <definedName name="_StartYr2">#REF!</definedName>
    <definedName name="A" localSheetId="7" hidden="1">{#N/A,#N/A,FALSE,"EMPPAY"}</definedName>
    <definedName name="A" localSheetId="8" hidden="1">{#N/A,#N/A,FALSE,"EMPPAY"}</definedName>
    <definedName name="A" hidden="1">{#N/A,#N/A,FALSE,"EMPPAY"}</definedName>
    <definedName name="acdetail_activity" localSheetId="4">#REF!</definedName>
    <definedName name="acdetail_activity" localSheetId="7">#REF!</definedName>
    <definedName name="acdetail_activity" localSheetId="8">#REF!</definedName>
    <definedName name="acdetail_activity">#REF!</definedName>
    <definedName name="acdetail_grp" localSheetId="4">#REF!</definedName>
    <definedName name="acdetail_grp" localSheetId="7">#REF!</definedName>
    <definedName name="acdetail_grp" localSheetId="8">#REF!</definedName>
    <definedName name="acdetail_grp">#REF!</definedName>
    <definedName name="acdetail_status" localSheetId="4">#REF!</definedName>
    <definedName name="acdetail_status" localSheetId="7">#REF!</definedName>
    <definedName name="acdetail_status" localSheetId="8">#REF!</definedName>
    <definedName name="acdetail_status">#REF!</definedName>
    <definedName name="AFactors">#REF!</definedName>
    <definedName name="AOP_yr" localSheetId="7">#REF!</definedName>
    <definedName name="AOP_yr" localSheetId="8">#REF!</definedName>
    <definedName name="AOP_yr">#REF!</definedName>
    <definedName name="Approved" localSheetId="7">#REF!</definedName>
    <definedName name="Approved" localSheetId="8">#REF!</definedName>
    <definedName name="Approved">#REF!</definedName>
    <definedName name="asst_cr_actvty">#REF!</definedName>
    <definedName name="asst_cr_amt">#REF!</definedName>
    <definedName name="asst_credit_actvty">#REF!</definedName>
    <definedName name="asst_credit_amt">#REF!</definedName>
    <definedName name="BudYr" localSheetId="7">#REF!</definedName>
    <definedName name="BudYr" localSheetId="8">#REF!</definedName>
    <definedName name="BudYr">#REF!</definedName>
    <definedName name="Capital">#REF!</definedName>
    <definedName name="Capital_Function">#REF!</definedName>
    <definedName name="Capital_Year">#REF!</definedName>
    <definedName name="CFACTORS">#REF!</definedName>
    <definedName name="cip_bal_actvty" localSheetId="4">#REF!</definedName>
    <definedName name="cip_bal_actvty">#REF!</definedName>
    <definedName name="cip_bal_begbal" localSheetId="4">#REF!</definedName>
    <definedName name="cip_bal_begbal">#REF!</definedName>
    <definedName name="cip_bal_capex" localSheetId="4">#REF!</definedName>
    <definedName name="cip_bal_capex">#REF!</definedName>
    <definedName name="cip_bal_endbal" localSheetId="4">#REF!</definedName>
    <definedName name="cip_bal_endbal">#REF!</definedName>
    <definedName name="cip_bal_grpstat" localSheetId="4">#REF!</definedName>
    <definedName name="cip_bal_grpstat">#REF!</definedName>
    <definedName name="cip_bal_plant" localSheetId="4">#REF!</definedName>
    <definedName name="cip_bal_plant">#REF!</definedName>
    <definedName name="CIP_Year">OFFSET(#REF!,0,0,COUNTA(#REF!)-1,1)</definedName>
    <definedName name="Current_Year" localSheetId="7">#REF!</definedName>
    <definedName name="Current_Year" localSheetId="8">#REF!</definedName>
    <definedName name="Current_Year">#REF!</definedName>
    <definedName name="CUSTAR">#REF!</definedName>
    <definedName name="CUYAHOGA_FALLS">#REF!</definedName>
    <definedName name="_xlnm.Database">OFFSET(#REF!,0,0,COUNTA(#REF!),11)</definedName>
    <definedName name="DataRange" localSheetId="4">'WP4 Elec Plant YE'!$C$9:$I$122</definedName>
    <definedName name="DataRange">#REF!</definedName>
    <definedName name="DEC00" localSheetId="7" hidden="1">{#N/A,#N/A,FALSE,"ARREC"}</definedName>
    <definedName name="DEC00" localSheetId="8" hidden="1">{#N/A,#N/A,FALSE,"ARREC"}</definedName>
    <definedName name="DEC00" hidden="1">{#N/A,#N/A,FALSE,"ARREC"}</definedName>
    <definedName name="EDGERTON">#REF!</definedName>
    <definedName name="Ellwood_City">#REF!</definedName>
    <definedName name="ELMORE">#REF!</definedName>
    <definedName name="FEB00" localSheetId="7" hidden="1">{#N/A,#N/A,FALSE,"ARREC"}</definedName>
    <definedName name="FEB00" localSheetId="8" hidden="1">{#N/A,#N/A,FALSE,"ARREC"}</definedName>
    <definedName name="FEB00" hidden="1">{#N/A,#N/A,FALSE,"ARREC"}</definedName>
    <definedName name="Ffactors">#REF!</definedName>
    <definedName name="GALION">#REF!</definedName>
    <definedName name="GENOA">#REF!</definedName>
    <definedName name="GENOA_NORTH">#REF!</definedName>
    <definedName name="GENOA_SOUTH">#REF!</definedName>
    <definedName name="Goto16">#REF!</definedName>
    <definedName name="Goto17">#REF!</definedName>
    <definedName name="GRAFTON">#REF!</definedName>
    <definedName name="Grove_City">#REF!</definedName>
    <definedName name="HASKINS">#REF!</definedName>
    <definedName name="HeaderRange" localSheetId="4">'WP4 Elec Plant YE'!$C$9:$I$9</definedName>
    <definedName name="HeaderRange">#REF!</definedName>
    <definedName name="Home">#REF!</definedName>
    <definedName name="hourending">#REF!</definedName>
    <definedName name="HUBBARD">#REF!</definedName>
    <definedName name="LHMonth">#REF!</definedName>
    <definedName name="LHYear">#REF!</definedName>
    <definedName name="LODI">#REF!</definedName>
    <definedName name="LUCAS">#REF!</definedName>
    <definedName name="MAY" localSheetId="7" hidden="1">{#N/A,#N/A,FALSE,"EMPPAY"}</definedName>
    <definedName name="MAY" localSheetId="8" hidden="1">{#N/A,#N/A,FALSE,"EMPPAY"}</definedName>
    <definedName name="MAY" hidden="1">{#N/A,#N/A,FALSE,"EMPPAY"}</definedName>
    <definedName name="MILAN">#REF!</definedName>
    <definedName name="MONROEVILLE">#REF!</definedName>
    <definedName name="NAPOLEON">#REF!</definedName>
    <definedName name="NEASG">#REF!</definedName>
    <definedName name="New_Wilmington">#REF!</definedName>
    <definedName name="NEWTON_FALLS">#REF!</definedName>
    <definedName name="NILES">#REF!</definedName>
    <definedName name="Now" localSheetId="7">#REF!</definedName>
    <definedName name="Now" localSheetId="8">#REF!</definedName>
    <definedName name="Now">#REF!</definedName>
    <definedName name="NWASG">#REF!</definedName>
    <definedName name="OAK_HARBOR">#REF!</definedName>
    <definedName name="OBERLIN">#REF!</definedName>
    <definedName name="pay_adj_actvty" localSheetId="4">#REF!</definedName>
    <definedName name="pay_adj_actvty" localSheetId="7">#REF!</definedName>
    <definedName name="pay_adj_actvty" localSheetId="8">#REF!</definedName>
    <definedName name="pay_adj_actvty">#REF!</definedName>
    <definedName name="pay_adj_amt" localSheetId="4">#REF!</definedName>
    <definedName name="pay_adj_amt" localSheetId="7">#REF!</definedName>
    <definedName name="pay_adj_amt" localSheetId="8">#REF!</definedName>
    <definedName name="pay_adj_amt">#REF!</definedName>
    <definedName name="PEMBERVILLE">#REF!</definedName>
    <definedName name="PIONEER">#REF!</definedName>
    <definedName name="Prev_yr" localSheetId="7">#REF!</definedName>
    <definedName name="Prev_yr" localSheetId="8">#REF!</definedName>
    <definedName name="Prev_yr">#REF!</definedName>
    <definedName name="_xlnm.Print_Area" localSheetId="1">'WP1 Load Divisor'!$A$1:$O$28</definedName>
    <definedName name="_xlnm.Print_Area" localSheetId="10">'WP10 Account 456.1'!$A$1:$E$24</definedName>
    <definedName name="_xlnm.Print_Area" localSheetId="6">'WP6 Capital Projects'!$A$1:$F$76</definedName>
    <definedName name="_xlnm.Print_Area" localSheetId="7">'WP7 Debt Service and Interest'!$A$1:$O$59</definedName>
    <definedName name="_xlnm.Print_Area" localSheetId="8">'WP8 Amortization of prem or dis'!$A$1:$R$59</definedName>
    <definedName name="_xlnm.Print_Area">#REF!</definedName>
    <definedName name="Print_Area_MI">#REF!</definedName>
    <definedName name="_xlnm.Print_Titles" localSheetId="3">'WP3 Elec Plant Summary'!$1:$6</definedName>
    <definedName name="_xlnm.Print_Titles" localSheetId="4">'WP4 Elec Plant YE'!$1:$9</definedName>
    <definedName name="_xlnm.Print_Titles" localSheetId="6">'WP6 Capital Projects'!$1:$10</definedName>
    <definedName name="_xlnm.Print_Titles" localSheetId="7">'WP7 Debt Service and Interest'!$1:$9</definedName>
    <definedName name="_xlnm.Print_Titles" localSheetId="8">'WP8 Amortization of prem or dis'!$1:$9</definedName>
    <definedName name="Print_Titles_MI">#REF!</definedName>
    <definedName name="PROSPECT">#REF!</definedName>
    <definedName name="queryp1">#REF!</definedName>
    <definedName name="rbni_actvty" localSheetId="4">#REF!</definedName>
    <definedName name="rbni_actvty" localSheetId="7">#REF!</definedName>
    <definedName name="rbni_actvty" localSheetId="8">#REF!</definedName>
    <definedName name="rbni_actvty">#REF!</definedName>
    <definedName name="rbni_amt" localSheetId="4">#REF!</definedName>
    <definedName name="rbni_amt" localSheetId="7">#REF!</definedName>
    <definedName name="rbni_amt" localSheetId="8">#REF!</definedName>
    <definedName name="rbni_amt">#REF!</definedName>
    <definedName name="revreq">#REF!</definedName>
    <definedName name="SEVILLE">#REF!</definedName>
    <definedName name="SortRange" localSheetId="4">'WP4 Elec Plant YE'!$C$10:$I$122</definedName>
    <definedName name="SortRange">#REF!</definedName>
    <definedName name="SOUTH_VIENNA">#REF!</definedName>
    <definedName name="TEST" localSheetId="7" hidden="1">{#N/A,#N/A,FALSE,"EMPPAY"}</definedName>
    <definedName name="TEST" localSheetId="8" hidden="1">{#N/A,#N/A,FALSE,"EMPPAY"}</definedName>
    <definedName name="TEST" hidden="1">{#N/A,#N/A,FALSE,"EMPPAY"}</definedName>
    <definedName name="Titles" localSheetId="4">'WP4 Elec Plant YE'!$C$9:$C$9</definedName>
    <definedName name="Titles">#REF!</definedName>
    <definedName name="TopSection" localSheetId="4">'WP4 Elec Plant YE'!$C$9:$I$9</definedName>
    <definedName name="TopSection">#REF!</definedName>
    <definedName name="TOTAL_COLUMBIANA">#REF!</definedName>
    <definedName name="Total_Grove_City">#REF!</definedName>
    <definedName name="TOTAL_HUDSON">#REF!</definedName>
    <definedName name="TOTAL_MONTPELIER">#REF!</definedName>
    <definedName name="TOTAL_WOODVILLE">#REF!</definedName>
    <definedName name="totals_actvty">#REF!</definedName>
    <definedName name="totals_amt">#REF!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sername">#REF!</definedName>
    <definedName name="veh_cr_actvty" localSheetId="4">#REF!</definedName>
    <definedName name="veh_cr_actvty" localSheetId="7">#REF!</definedName>
    <definedName name="veh_cr_actvty" localSheetId="8">#REF!</definedName>
    <definedName name="veh_cr_actvty">#REF!</definedName>
    <definedName name="veh_cr_amt" localSheetId="4">#REF!</definedName>
    <definedName name="veh_cr_amt" localSheetId="7">#REF!</definedName>
    <definedName name="veh_cr_amt" localSheetId="8">#REF!</definedName>
    <definedName name="veh_cr_amt">#REF!</definedName>
    <definedName name="WADSWORTH">#REF!</definedName>
    <definedName name="wip_grp_bal_actvty" localSheetId="4">#REF!</definedName>
    <definedName name="wip_grp_bal_actvty" localSheetId="7">#REF!</definedName>
    <definedName name="wip_grp_bal_actvty" localSheetId="8">#REF!</definedName>
    <definedName name="wip_grp_bal_actvty">#REF!</definedName>
    <definedName name="wrn.ARREC." localSheetId="7" hidden="1">{#N/A,#N/A,FALSE,"ARREC"}</definedName>
    <definedName name="wrn.ARREC." localSheetId="8" hidden="1">{#N/A,#N/A,FALSE,"ARREC"}</definedName>
    <definedName name="wrn.ARREC." hidden="1">{#N/A,#N/A,FALSE,"ARREC"}</definedName>
    <definedName name="wrn.EMPPAY." localSheetId="7" hidden="1">{#N/A,#N/A,FALSE,"EMPPAY"}</definedName>
    <definedName name="wrn.EMPPAY." localSheetId="8" hidden="1">{#N/A,#N/A,FALSE,"EMPPAY"}</definedName>
    <definedName name="wrn.EMPPAY." hidden="1">{#N/A,#N/A,FALSE,"EMPPAY"}</definedName>
    <definedName name="xx" localSheetId="7" hidden="1">{#N/A,#N/A,FALSE,"EMPPAY"}</definedName>
    <definedName name="xx" localSheetId="8" hidden="1">{#N/A,#N/A,FALSE,"EMPPAY"}</definedName>
    <definedName name="xx" hidden="1">{#N/A,#N/A,FALSE,"EMPPAY"}</definedName>
    <definedName name="Year">OFFSET(#REF!,0,0,COUNTA(#REF!),1)</definedName>
  </definedNames>
  <calcPr calcId="191029"/>
  <pivotCaches>
    <pivotCache cacheId="31" r:id="rId14"/>
    <pivotCache cacheId="32" r:id="rId15"/>
    <pivotCache cacheId="37" r:id="rId1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1" i="27" l="1"/>
  <c r="A62" i="27"/>
  <c r="F93" i="35"/>
  <c r="F92" i="35"/>
  <c r="F60" i="27" l="1"/>
  <c r="F94" i="35"/>
  <c r="R55" i="35"/>
  <c r="L26" i="12" l="1"/>
  <c r="L25" i="12"/>
  <c r="L24" i="12"/>
  <c r="L23" i="12"/>
  <c r="L22" i="12"/>
  <c r="L21" i="12"/>
  <c r="L20" i="12"/>
  <c r="L19" i="12"/>
  <c r="L18" i="12"/>
  <c r="L17" i="12"/>
  <c r="L16" i="12"/>
  <c r="L15" i="12"/>
  <c r="F38" i="32" l="1"/>
  <c r="F12" i="27" l="1"/>
  <c r="F13" i="27"/>
  <c r="F14" i="27"/>
  <c r="F15" i="27"/>
  <c r="F16" i="27"/>
  <c r="D74" i="27"/>
  <c r="F74" i="27" s="1"/>
  <c r="H57" i="30" l="1"/>
  <c r="G10" i="21"/>
  <c r="F11" i="27" l="1"/>
  <c r="D73" i="27"/>
  <c r="L76" i="35"/>
  <c r="L75" i="35"/>
  <c r="H13" i="35"/>
  <c r="H15" i="35"/>
  <c r="H16" i="35"/>
  <c r="H17" i="35"/>
  <c r="H18" i="35"/>
  <c r="H19" i="35"/>
  <c r="H20" i="35"/>
  <c r="H21" i="35"/>
  <c r="H22" i="35"/>
  <c r="H23" i="35"/>
  <c r="H24" i="35"/>
  <c r="H25" i="35"/>
  <c r="H26" i="35"/>
  <c r="H27" i="35"/>
  <c r="H28" i="35"/>
  <c r="H29" i="35"/>
  <c r="H30" i="35"/>
  <c r="H31" i="35"/>
  <c r="H32" i="35"/>
  <c r="H33" i="35"/>
  <c r="H34" i="35"/>
  <c r="H35" i="35"/>
  <c r="H36" i="35"/>
  <c r="H37" i="35"/>
  <c r="H38" i="35"/>
  <c r="H39" i="35"/>
  <c r="H40" i="35"/>
  <c r="H41" i="35"/>
  <c r="H42" i="35"/>
  <c r="H43" i="35"/>
  <c r="H44" i="35"/>
  <c r="H45" i="35"/>
  <c r="H46" i="35"/>
  <c r="H48" i="35"/>
  <c r="H49" i="35"/>
  <c r="H50" i="35"/>
  <c r="H51" i="35"/>
  <c r="H52" i="35"/>
  <c r="H53" i="35"/>
  <c r="H56" i="35"/>
  <c r="H57" i="35"/>
  <c r="H58" i="35"/>
  <c r="H59" i="35"/>
  <c r="H60" i="35"/>
  <c r="H61" i="35"/>
  <c r="H62" i="35"/>
  <c r="H63" i="35"/>
  <c r="H64" i="35"/>
  <c r="H66" i="35"/>
  <c r="H67" i="35"/>
  <c r="H68" i="35"/>
  <c r="H69" i="35"/>
  <c r="H12" i="35"/>
  <c r="A13" i="35"/>
  <c r="A15" i="35"/>
  <c r="A16" i="35"/>
  <c r="A17" i="35"/>
  <c r="A18" i="35"/>
  <c r="A19" i="35"/>
  <c r="A20" i="35"/>
  <c r="A21" i="35"/>
  <c r="A22" i="35"/>
  <c r="A23" i="35"/>
  <c r="A24" i="35"/>
  <c r="A25" i="35"/>
  <c r="A26" i="35"/>
  <c r="A27" i="35"/>
  <c r="A28" i="35"/>
  <c r="A29" i="35"/>
  <c r="A30" i="35"/>
  <c r="A31" i="35"/>
  <c r="A32" i="35"/>
  <c r="A33" i="35"/>
  <c r="A34" i="35"/>
  <c r="A35" i="35"/>
  <c r="A36" i="35"/>
  <c r="A37" i="35"/>
  <c r="A38" i="35"/>
  <c r="A40" i="35"/>
  <c r="A41" i="35"/>
  <c r="A42" i="35"/>
  <c r="A43" i="35"/>
  <c r="A44" i="35"/>
  <c r="A45" i="35"/>
  <c r="A46" i="35"/>
  <c r="A47" i="35"/>
  <c r="A48" i="35"/>
  <c r="A49" i="35"/>
  <c r="A50" i="35"/>
  <c r="A51" i="35"/>
  <c r="A53" i="35"/>
  <c r="A54" i="35"/>
  <c r="A55" i="35"/>
  <c r="A56" i="35"/>
  <c r="A57" i="35"/>
  <c r="A58" i="35"/>
  <c r="A59" i="35"/>
  <c r="A60" i="35"/>
  <c r="A61" i="35"/>
  <c r="A62" i="35"/>
  <c r="A63" i="35"/>
  <c r="A64" i="35"/>
  <c r="A65" i="35"/>
  <c r="A66" i="35"/>
  <c r="A67" i="35"/>
  <c r="A68" i="35"/>
  <c r="A71" i="35"/>
  <c r="A72" i="35"/>
  <c r="A73" i="35"/>
  <c r="A74" i="35"/>
  <c r="A75" i="35"/>
  <c r="A76" i="35"/>
  <c r="A77" i="35"/>
  <c r="A78" i="35"/>
  <c r="A79" i="35"/>
  <c r="A80" i="35"/>
  <c r="A81" i="35"/>
  <c r="A82" i="35"/>
  <c r="A84" i="35"/>
  <c r="A85" i="35"/>
  <c r="A86" i="35"/>
  <c r="A12" i="35"/>
  <c r="B12" i="35"/>
  <c r="D75" i="27" l="1"/>
  <c r="K76" i="35"/>
  <c r="K75" i="35"/>
  <c r="E92" i="35"/>
  <c r="E93" i="35"/>
  <c r="L77" i="35"/>
  <c r="K74" i="35"/>
  <c r="E94" i="35" l="1"/>
  <c r="K77" i="35"/>
  <c r="B86" i="35" l="1"/>
  <c r="B85" i="35"/>
  <c r="B84" i="35"/>
  <c r="B82" i="35"/>
  <c r="B81" i="35"/>
  <c r="B80" i="35"/>
  <c r="B79" i="35"/>
  <c r="B78" i="35"/>
  <c r="B77" i="35"/>
  <c r="B76" i="35"/>
  <c r="B75" i="35"/>
  <c r="B74" i="35"/>
  <c r="B73" i="35"/>
  <c r="B72" i="35"/>
  <c r="B71" i="35"/>
  <c r="B68" i="35"/>
  <c r="I69" i="35"/>
  <c r="B67" i="35"/>
  <c r="I68" i="35"/>
  <c r="B66" i="35"/>
  <c r="I67" i="35"/>
  <c r="B65" i="35"/>
  <c r="I66" i="35"/>
  <c r="B64" i="35"/>
  <c r="I64" i="35"/>
  <c r="B63" i="35"/>
  <c r="I63" i="35"/>
  <c r="B62" i="35"/>
  <c r="I62" i="35"/>
  <c r="B61" i="35"/>
  <c r="I61" i="35"/>
  <c r="B60" i="35"/>
  <c r="I60" i="35"/>
  <c r="B59" i="35"/>
  <c r="I59" i="35"/>
  <c r="B58" i="35"/>
  <c r="I58" i="35"/>
  <c r="B57" i="35"/>
  <c r="I57" i="35"/>
  <c r="B56" i="35"/>
  <c r="I56" i="35"/>
  <c r="B55" i="35"/>
  <c r="I53" i="35"/>
  <c r="B54" i="35"/>
  <c r="I52" i="35"/>
  <c r="B53" i="35"/>
  <c r="I51" i="35"/>
  <c r="B51" i="35"/>
  <c r="I50" i="35"/>
  <c r="B50" i="35"/>
  <c r="I49" i="35"/>
  <c r="B49" i="35"/>
  <c r="I48" i="35"/>
  <c r="B48" i="35"/>
  <c r="I46" i="35"/>
  <c r="B47" i="35"/>
  <c r="I45" i="35"/>
  <c r="B46" i="35"/>
  <c r="I44" i="35"/>
  <c r="B45" i="35"/>
  <c r="I43" i="35"/>
  <c r="B44" i="35"/>
  <c r="I42" i="35"/>
  <c r="B43" i="35"/>
  <c r="I41" i="35"/>
  <c r="B42" i="35"/>
  <c r="I40" i="35"/>
  <c r="B41" i="35"/>
  <c r="I39" i="35"/>
  <c r="B40" i="35"/>
  <c r="I38" i="35"/>
  <c r="B38" i="35"/>
  <c r="I37" i="35"/>
  <c r="B37" i="35"/>
  <c r="I36" i="35"/>
  <c r="B36" i="35"/>
  <c r="I35" i="35"/>
  <c r="B35" i="35"/>
  <c r="I34" i="35"/>
  <c r="B34" i="35"/>
  <c r="I33" i="35"/>
  <c r="B33" i="35"/>
  <c r="I32" i="35"/>
  <c r="B32" i="35"/>
  <c r="I31" i="35"/>
  <c r="B31" i="35"/>
  <c r="I30" i="35"/>
  <c r="B30" i="35"/>
  <c r="I29" i="35"/>
  <c r="B29" i="35"/>
  <c r="I28" i="35"/>
  <c r="B28" i="35"/>
  <c r="I27" i="35"/>
  <c r="B27" i="35"/>
  <c r="I26" i="35"/>
  <c r="B26" i="35"/>
  <c r="I25" i="35"/>
  <c r="B25" i="35"/>
  <c r="I24" i="35"/>
  <c r="B24" i="35"/>
  <c r="I23" i="35"/>
  <c r="B23" i="35"/>
  <c r="I22" i="35"/>
  <c r="B22" i="35"/>
  <c r="I21" i="35"/>
  <c r="B21" i="35"/>
  <c r="I20" i="35"/>
  <c r="B20" i="35"/>
  <c r="I19" i="35"/>
  <c r="B19" i="35"/>
  <c r="I18" i="35"/>
  <c r="B18" i="35"/>
  <c r="I17" i="35"/>
  <c r="B17" i="35"/>
  <c r="I16" i="35"/>
  <c r="B16" i="35"/>
  <c r="I15" i="35"/>
  <c r="B15" i="35"/>
  <c r="I13" i="35"/>
  <c r="B13" i="35"/>
  <c r="I12" i="35"/>
  <c r="A5" i="35"/>
  <c r="A2" i="35"/>
  <c r="A1" i="35"/>
  <c r="G92" i="35" l="1"/>
  <c r="G93" i="35"/>
  <c r="M74" i="35"/>
  <c r="M75" i="35"/>
  <c r="R27" i="35"/>
  <c r="R42" i="35"/>
  <c r="R57" i="35"/>
  <c r="R78" i="35"/>
  <c r="R97" i="35"/>
  <c r="R29" i="35"/>
  <c r="R47" i="35"/>
  <c r="R58" i="35"/>
  <c r="R80" i="35"/>
  <c r="R98" i="35"/>
  <c r="R30" i="35"/>
  <c r="R48" i="35"/>
  <c r="R59" i="35"/>
  <c r="R86" i="35"/>
  <c r="R100" i="35"/>
  <c r="R31" i="35"/>
  <c r="R49" i="35"/>
  <c r="R65" i="35"/>
  <c r="R89" i="35"/>
  <c r="R13" i="35"/>
  <c r="R18" i="35"/>
  <c r="R33" i="35"/>
  <c r="R50" i="35"/>
  <c r="R66" i="35"/>
  <c r="R90" i="35"/>
  <c r="T55" i="35"/>
  <c r="R24" i="35"/>
  <c r="R36" i="35"/>
  <c r="R51" i="35"/>
  <c r="R67" i="35"/>
  <c r="R94" i="35"/>
  <c r="R25" i="35"/>
  <c r="R37" i="35"/>
  <c r="R52" i="35"/>
  <c r="R74" i="35"/>
  <c r="R95" i="35"/>
  <c r="R26" i="35"/>
  <c r="R39" i="35"/>
  <c r="R56" i="35"/>
  <c r="R76" i="35"/>
  <c r="R96" i="35"/>
  <c r="R87" i="35"/>
  <c r="R62" i="35"/>
  <c r="R14" i="35"/>
  <c r="R82" i="35"/>
  <c r="R21" i="35"/>
  <c r="R44" i="35"/>
  <c r="R45" i="35"/>
  <c r="R38" i="35"/>
  <c r="R63" i="35"/>
  <c r="R34" i="35"/>
  <c r="R83" i="35"/>
  <c r="R46" i="35"/>
  <c r="R70" i="35"/>
  <c r="R20" i="35"/>
  <c r="R91" i="35"/>
  <c r="R35" i="35"/>
  <c r="R75" i="35"/>
  <c r="R60" i="35"/>
  <c r="R22" i="35"/>
  <c r="R88" i="35"/>
  <c r="R69" i="35"/>
  <c r="R79" i="35"/>
  <c r="R64" i="35"/>
  <c r="R77" i="35"/>
  <c r="R15" i="35"/>
  <c r="R23" i="35"/>
  <c r="R71" i="35"/>
  <c r="R12" i="35"/>
  <c r="R53" i="35"/>
  <c r="R43" i="35"/>
  <c r="R54" i="35"/>
  <c r="R84" i="35"/>
  <c r="R72" i="35"/>
  <c r="R41" i="35"/>
  <c r="R40" i="35"/>
  <c r="R28" i="35"/>
  <c r="R19" i="35"/>
  <c r="R61" i="35"/>
  <c r="R17" i="35"/>
  <c r="R93" i="35"/>
  <c r="R92" i="35"/>
  <c r="R73" i="35"/>
  <c r="R68" i="35"/>
  <c r="R16" i="35"/>
  <c r="R32" i="35"/>
  <c r="R81" i="35"/>
  <c r="R99" i="35"/>
  <c r="R85" i="35"/>
  <c r="M76" i="35"/>
  <c r="T19" i="35"/>
  <c r="T22" i="35"/>
  <c r="T21" i="35"/>
  <c r="T77" i="35"/>
  <c r="T12" i="35"/>
  <c r="T23" i="35"/>
  <c r="T71" i="35"/>
  <c r="T97" i="35"/>
  <c r="T20" i="35"/>
  <c r="T13" i="35"/>
  <c r="T88" i="35"/>
  <c r="T17" i="35"/>
  <c r="T16" i="35"/>
  <c r="T14" i="35"/>
  <c r="T15" i="35"/>
  <c r="T82" i="35"/>
  <c r="T18" i="35"/>
  <c r="T51" i="35"/>
  <c r="T38" i="35"/>
  <c r="T47" i="35"/>
  <c r="T48" i="35"/>
  <c r="T49" i="35"/>
  <c r="T50" i="35"/>
  <c r="T74" i="35"/>
  <c r="T79" i="35"/>
  <c r="T93" i="35"/>
  <c r="T98" i="35"/>
  <c r="T43" i="35"/>
  <c r="T45" i="35"/>
  <c r="T46" i="35"/>
  <c r="T84" i="35"/>
  <c r="T86" i="35"/>
  <c r="T89" i="35"/>
  <c r="T37" i="35"/>
  <c r="T39" i="35"/>
  <c r="T40" i="35"/>
  <c r="T41" i="35"/>
  <c r="T67" i="35"/>
  <c r="T68" i="35"/>
  <c r="T69" i="35"/>
  <c r="T76" i="35"/>
  <c r="T81" i="35"/>
  <c r="T90" i="35"/>
  <c r="T94" i="35"/>
  <c r="T99" i="35"/>
  <c r="T42" i="35"/>
  <c r="T44" i="35"/>
  <c r="T70" i="35"/>
  <c r="T36" i="35"/>
  <c r="T66" i="35"/>
  <c r="T73" i="35"/>
  <c r="T78" i="35"/>
  <c r="T32" i="35"/>
  <c r="T59" i="35"/>
  <c r="T60" i="35"/>
  <c r="T61" i="35"/>
  <c r="T62" i="35"/>
  <c r="T63" i="35"/>
  <c r="T65" i="35"/>
  <c r="T83" i="35"/>
  <c r="T87" i="35"/>
  <c r="T91" i="35"/>
  <c r="T95" i="35"/>
  <c r="T100" i="35"/>
  <c r="T30" i="35"/>
  <c r="T33" i="35"/>
  <c r="T64" i="35"/>
  <c r="T25" i="35"/>
  <c r="T27" i="35"/>
  <c r="T29" i="35"/>
  <c r="T56" i="35"/>
  <c r="T57" i="35"/>
  <c r="T58" i="35"/>
  <c r="T72" i="35"/>
  <c r="T75" i="35"/>
  <c r="T80" i="35"/>
  <c r="T85" i="35"/>
  <c r="T96" i="35"/>
  <c r="T31" i="35"/>
  <c r="T34" i="35"/>
  <c r="T35" i="35"/>
  <c r="T26" i="35"/>
  <c r="T28" i="35"/>
  <c r="T24" i="35"/>
  <c r="T52" i="35"/>
  <c r="T54" i="35"/>
  <c r="T92" i="35"/>
  <c r="G94" i="35" l="1"/>
  <c r="T53" i="35"/>
  <c r="T102" i="35" s="1"/>
  <c r="M77" i="35"/>
  <c r="R102" i="35"/>
  <c r="E12" i="30" l="1"/>
  <c r="E13" i="30"/>
  <c r="E14" i="30"/>
  <c r="E15" i="30"/>
  <c r="E16" i="30"/>
  <c r="E17" i="30"/>
  <c r="E18" i="30"/>
  <c r="E19" i="30"/>
  <c r="E20" i="30"/>
  <c r="E21" i="30"/>
  <c r="E22" i="30"/>
  <c r="E23" i="30"/>
  <c r="E24" i="30"/>
  <c r="E25" i="30"/>
  <c r="E26" i="30"/>
  <c r="E27" i="30"/>
  <c r="E28" i="30"/>
  <c r="E29" i="30"/>
  <c r="E30" i="30"/>
  <c r="E31" i="30"/>
  <c r="E32" i="30"/>
  <c r="E33" i="30"/>
  <c r="E34" i="30"/>
  <c r="E35" i="30"/>
  <c r="E36" i="30"/>
  <c r="E37" i="30"/>
  <c r="E38" i="30"/>
  <c r="E39" i="30"/>
  <c r="E40" i="30"/>
  <c r="E41" i="30"/>
  <c r="E42" i="30"/>
  <c r="E43" i="30"/>
  <c r="E44" i="30"/>
  <c r="E45" i="30"/>
  <c r="E46" i="30"/>
  <c r="E47" i="30"/>
  <c r="E48" i="30"/>
  <c r="E49" i="30"/>
  <c r="E50" i="30"/>
  <c r="E51" i="30"/>
  <c r="K51" i="30" s="1"/>
  <c r="E52" i="30"/>
  <c r="K52" i="30" s="1"/>
  <c r="E11" i="30"/>
  <c r="J11" i="30" s="1"/>
  <c r="J52" i="30" l="1"/>
  <c r="M52" i="30" s="1"/>
  <c r="O52" i="30" s="1"/>
  <c r="J51" i="30"/>
  <c r="M51" i="30" s="1"/>
  <c r="O51" i="30" s="1"/>
  <c r="Q56" i="29"/>
  <c r="O36" i="29"/>
  <c r="E52" i="28"/>
  <c r="G14" i="28"/>
  <c r="G15" i="28"/>
  <c r="G16" i="28"/>
  <c r="I16" i="28" s="1"/>
  <c r="G17" i="28"/>
  <c r="I17" i="28" s="1"/>
  <c r="G18" i="28"/>
  <c r="I18" i="28" s="1"/>
  <c r="G19" i="28"/>
  <c r="I19" i="28" s="1"/>
  <c r="G20" i="28"/>
  <c r="I20" i="28" s="1"/>
  <c r="G21" i="28"/>
  <c r="I21" i="28" s="1"/>
  <c r="G22" i="28"/>
  <c r="G23" i="28"/>
  <c r="I23" i="28" s="1"/>
  <c r="G24" i="28"/>
  <c r="I24" i="28" s="1"/>
  <c r="G25" i="28"/>
  <c r="I25" i="28" s="1"/>
  <c r="G26" i="28"/>
  <c r="G27" i="28"/>
  <c r="G28" i="28"/>
  <c r="G29" i="28"/>
  <c r="I29" i="28" s="1"/>
  <c r="G30" i="28"/>
  <c r="I30" i="28" s="1"/>
  <c r="G31" i="28"/>
  <c r="G32" i="28"/>
  <c r="I32" i="28" s="1"/>
  <c r="G33" i="28"/>
  <c r="I33" i="28" s="1"/>
  <c r="G34" i="28"/>
  <c r="I34" i="28" s="1"/>
  <c r="G35" i="28"/>
  <c r="I35" i="28" s="1"/>
  <c r="G36" i="28"/>
  <c r="I36" i="28" s="1"/>
  <c r="G37" i="28"/>
  <c r="I37" i="28" s="1"/>
  <c r="G38" i="28"/>
  <c r="G39" i="28"/>
  <c r="I39" i="28" s="1"/>
  <c r="G40" i="28"/>
  <c r="I40" i="28" s="1"/>
  <c r="G41" i="28"/>
  <c r="I41" i="28" s="1"/>
  <c r="G42" i="28"/>
  <c r="I42" i="28" s="1"/>
  <c r="G43" i="28"/>
  <c r="G44" i="28"/>
  <c r="I44" i="28" s="1"/>
  <c r="G45" i="28"/>
  <c r="I45" i="28" s="1"/>
  <c r="G46" i="28"/>
  <c r="I46" i="28" s="1"/>
  <c r="G47" i="28"/>
  <c r="I47" i="28" s="1"/>
  <c r="G48" i="28"/>
  <c r="I48" i="28" s="1"/>
  <c r="G49" i="28"/>
  <c r="I49" i="28" s="1"/>
  <c r="G50" i="28"/>
  <c r="G51" i="28"/>
  <c r="I51" i="28" s="1"/>
  <c r="G13" i="28"/>
  <c r="I13" i="28" s="1"/>
  <c r="I26" i="28"/>
  <c r="I27" i="28"/>
  <c r="I28" i="28"/>
  <c r="I43" i="28"/>
  <c r="I15" i="28"/>
  <c r="I31" i="28"/>
  <c r="I50" i="28"/>
  <c r="I14" i="28"/>
  <c r="I22" i="28"/>
  <c r="I38" i="28"/>
  <c r="Q14" i="29"/>
  <c r="Q15" i="29"/>
  <c r="Q16" i="29"/>
  <c r="Q17" i="29"/>
  <c r="Q18" i="29"/>
  <c r="Q19" i="29"/>
  <c r="Q20" i="29"/>
  <c r="Q21" i="29"/>
  <c r="Q22" i="29"/>
  <c r="Q23" i="29"/>
  <c r="Q24" i="29"/>
  <c r="Q25" i="29"/>
  <c r="Q26" i="29"/>
  <c r="Q27" i="29"/>
  <c r="Q28" i="29"/>
  <c r="Q29" i="29"/>
  <c r="Q30" i="29"/>
  <c r="Q31" i="29"/>
  <c r="Q32" i="29"/>
  <c r="Q33" i="29"/>
  <c r="Q34" i="29"/>
  <c r="Q35" i="29"/>
  <c r="Q36" i="29"/>
  <c r="Q37" i="29"/>
  <c r="Q38" i="29"/>
  <c r="Q39" i="29"/>
  <c r="Q40" i="29"/>
  <c r="Q41" i="29"/>
  <c r="Q42" i="29"/>
  <c r="Q43" i="29"/>
  <c r="Q44" i="29"/>
  <c r="Q45" i="29"/>
  <c r="Q46" i="29"/>
  <c r="Q47" i="29"/>
  <c r="Q48" i="29"/>
  <c r="Q49" i="29"/>
  <c r="Q50" i="29"/>
  <c r="Q51" i="29"/>
  <c r="Q52" i="29"/>
  <c r="Q53" i="29"/>
  <c r="Q54" i="29"/>
  <c r="Q55" i="29"/>
  <c r="O13" i="29"/>
  <c r="O14" i="29"/>
  <c r="O15" i="29"/>
  <c r="O16" i="29"/>
  <c r="O17" i="29"/>
  <c r="O18" i="29"/>
  <c r="O19" i="29"/>
  <c r="O20" i="29"/>
  <c r="O21" i="29"/>
  <c r="O22" i="29"/>
  <c r="O23" i="29"/>
  <c r="O24" i="29"/>
  <c r="O25" i="29"/>
  <c r="O26" i="29"/>
  <c r="O27" i="29"/>
  <c r="O28" i="29"/>
  <c r="O29" i="29"/>
  <c r="O30" i="29"/>
  <c r="O31" i="29"/>
  <c r="O32" i="29"/>
  <c r="O33" i="29"/>
  <c r="O34" i="29"/>
  <c r="O35" i="29"/>
  <c r="O37" i="29"/>
  <c r="O38" i="29"/>
  <c r="O39" i="29"/>
  <c r="O40" i="29"/>
  <c r="O41" i="29"/>
  <c r="O42" i="29"/>
  <c r="O43" i="29"/>
  <c r="O44" i="29"/>
  <c r="O45" i="29"/>
  <c r="O46" i="29"/>
  <c r="O47" i="29"/>
  <c r="O48" i="29"/>
  <c r="O49" i="29"/>
  <c r="O50" i="29"/>
  <c r="O51" i="29"/>
  <c r="O52" i="29"/>
  <c r="O53" i="29"/>
  <c r="O54" i="29"/>
  <c r="O55" i="29"/>
  <c r="O56" i="29"/>
  <c r="A47" i="29"/>
  <c r="A48" i="29"/>
  <c r="A49" i="29"/>
  <c r="A50" i="29"/>
  <c r="A51" i="29"/>
  <c r="A52" i="29"/>
  <c r="A53" i="29"/>
  <c r="A54" i="29"/>
  <c r="A55" i="29" s="1"/>
  <c r="A56" i="29" s="1"/>
  <c r="A57" i="29" s="1"/>
  <c r="A58" i="29" s="1"/>
  <c r="A59" i="29" s="1"/>
  <c r="T47" i="29"/>
  <c r="T48" i="29"/>
  <c r="T49" i="29"/>
  <c r="T50" i="29"/>
  <c r="T51" i="29"/>
  <c r="T52" i="29"/>
  <c r="T53" i="29"/>
  <c r="T54" i="29"/>
  <c r="T55" i="29"/>
  <c r="T56" i="29"/>
  <c r="I52" i="28" l="1"/>
  <c r="A50" i="28"/>
  <c r="A51" i="28"/>
  <c r="A52" i="28" s="1"/>
  <c r="F17" i="27" l="1"/>
  <c r="F18" i="27"/>
  <c r="I15" i="27" s="1"/>
  <c r="F19" i="27"/>
  <c r="F20" i="27"/>
  <c r="F21" i="27"/>
  <c r="F22" i="27"/>
  <c r="F23" i="27"/>
  <c r="F24" i="27"/>
  <c r="F25" i="27"/>
  <c r="F26" i="27"/>
  <c r="F27" i="27"/>
  <c r="F28" i="27"/>
  <c r="F29" i="27"/>
  <c r="F30" i="27"/>
  <c r="F31" i="27"/>
  <c r="F32" i="27"/>
  <c r="F33" i="27"/>
  <c r="F34" i="27"/>
  <c r="F35" i="27"/>
  <c r="F36" i="27"/>
  <c r="F37" i="27"/>
  <c r="F38" i="27"/>
  <c r="F39" i="27"/>
  <c r="F40" i="27"/>
  <c r="F41" i="27"/>
  <c r="F42" i="27"/>
  <c r="F43" i="27"/>
  <c r="F44" i="27"/>
  <c r="F45" i="27"/>
  <c r="F46" i="27"/>
  <c r="F47" i="27"/>
  <c r="F48" i="27"/>
  <c r="F49" i="27"/>
  <c r="F50" i="27"/>
  <c r="F51" i="27"/>
  <c r="F52" i="27"/>
  <c r="F53" i="27"/>
  <c r="F54" i="27"/>
  <c r="F55" i="27"/>
  <c r="F56" i="27"/>
  <c r="F57" i="27"/>
  <c r="F58" i="27"/>
  <c r="F59" i="27"/>
  <c r="F62" i="27"/>
  <c r="F63" i="27"/>
  <c r="F64" i="27"/>
  <c r="F65" i="27"/>
  <c r="F66" i="27"/>
  <c r="F67" i="27"/>
  <c r="F68" i="27"/>
  <c r="F69" i="27"/>
  <c r="F70" i="27"/>
  <c r="F71" i="27"/>
  <c r="F72" i="27"/>
  <c r="F73" i="27" l="1"/>
  <c r="E73" i="27"/>
  <c r="F75" i="27" l="1"/>
  <c r="A5" i="32"/>
  <c r="A2" i="32"/>
  <c r="A1" i="32"/>
  <c r="O55" i="30"/>
  <c r="T30" i="29"/>
  <c r="T29" i="29"/>
  <c r="T34" i="29"/>
  <c r="T33" i="29"/>
  <c r="T32" i="29"/>
  <c r="T31" i="29"/>
  <c r="T24" i="29"/>
  <c r="T25" i="29"/>
  <c r="T14" i="29"/>
  <c r="T15" i="29"/>
  <c r="T16" i="29"/>
  <c r="T17" i="29"/>
  <c r="T18" i="29"/>
  <c r="T19" i="29"/>
  <c r="T20" i="29"/>
  <c r="T21" i="29"/>
  <c r="T22" i="29"/>
  <c r="T23" i="29"/>
  <c r="T26" i="29"/>
  <c r="T27" i="29"/>
  <c r="T28" i="29"/>
  <c r="T35" i="29"/>
  <c r="T36" i="29"/>
  <c r="T37" i="29"/>
  <c r="T38" i="29"/>
  <c r="T39" i="29"/>
  <c r="T40" i="29"/>
  <c r="T41" i="29"/>
  <c r="T42" i="29"/>
  <c r="T43" i="29"/>
  <c r="T44" i="29"/>
  <c r="T45" i="29"/>
  <c r="T46" i="29"/>
  <c r="T13" i="29"/>
  <c r="Q13" i="29" s="1"/>
  <c r="A14" i="28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30" i="28" s="1"/>
  <c r="A31" i="28" s="1"/>
  <c r="A32" i="28" s="1"/>
  <c r="A33" i="28" s="1"/>
  <c r="A34" i="28" s="1"/>
  <c r="A35" i="28" s="1"/>
  <c r="A36" i="28" s="1"/>
  <c r="A37" i="28" s="1"/>
  <c r="A38" i="28" s="1"/>
  <c r="A39" i="28" s="1"/>
  <c r="A40" i="28" s="1"/>
  <c r="A41" i="28" s="1"/>
  <c r="A42" i="28" s="1"/>
  <c r="A43" i="28" s="1"/>
  <c r="A44" i="28" s="1"/>
  <c r="A45" i="28" s="1"/>
  <c r="A46" i="28" s="1"/>
  <c r="A47" i="28" s="1"/>
  <c r="A48" i="28" s="1"/>
  <c r="A49" i="28" s="1"/>
  <c r="M12" i="29"/>
  <c r="D21" i="31"/>
  <c r="C21" i="31"/>
  <c r="B21" i="31"/>
  <c r="E20" i="31"/>
  <c r="E19" i="31"/>
  <c r="E18" i="31"/>
  <c r="E17" i="31"/>
  <c r="E16" i="31"/>
  <c r="E15" i="31"/>
  <c r="E14" i="31"/>
  <c r="E13" i="31"/>
  <c r="E12" i="31"/>
  <c r="E11" i="31"/>
  <c r="E10" i="31"/>
  <c r="E9" i="31"/>
  <c r="A5" i="31"/>
  <c r="A2" i="31"/>
  <c r="A1" i="31"/>
  <c r="E21" i="31" l="1"/>
  <c r="Q12" i="29"/>
  <c r="Q59" i="29" s="1"/>
  <c r="K38" i="30" l="1"/>
  <c r="K39" i="30"/>
  <c r="K41" i="30"/>
  <c r="K47" i="30"/>
  <c r="K49" i="30"/>
  <c r="J24" i="30"/>
  <c r="J25" i="30"/>
  <c r="J27" i="30"/>
  <c r="J30" i="30"/>
  <c r="J33" i="30"/>
  <c r="J35" i="30"/>
  <c r="J38" i="30"/>
  <c r="J40" i="30"/>
  <c r="J41" i="30"/>
  <c r="J43" i="30"/>
  <c r="J49" i="30"/>
  <c r="J36" i="30"/>
  <c r="K37" i="30"/>
  <c r="J37" i="30"/>
  <c r="J39" i="30"/>
  <c r="K40" i="30"/>
  <c r="J42" i="30"/>
  <c r="J44" i="30"/>
  <c r="K45" i="30"/>
  <c r="J45" i="30"/>
  <c r="K46" i="30"/>
  <c r="J46" i="30"/>
  <c r="J47" i="30"/>
  <c r="J48" i="30"/>
  <c r="K48" i="30"/>
  <c r="J50" i="30"/>
  <c r="J26" i="30"/>
  <c r="K26" i="30"/>
  <c r="K27" i="30"/>
  <c r="J28" i="30"/>
  <c r="K28" i="30"/>
  <c r="J29" i="30"/>
  <c r="K29" i="30"/>
  <c r="J31" i="30"/>
  <c r="J32" i="30"/>
  <c r="J34" i="30"/>
  <c r="K34" i="30"/>
  <c r="M26" i="30" l="1"/>
  <c r="O26" i="30" s="1"/>
  <c r="M27" i="30"/>
  <c r="O27" i="30" s="1"/>
  <c r="M37" i="30"/>
  <c r="O37" i="30" s="1"/>
  <c r="M49" i="30"/>
  <c r="O49" i="30" s="1"/>
  <c r="M41" i="30"/>
  <c r="O41" i="30" s="1"/>
  <c r="M40" i="30"/>
  <c r="O40" i="30" s="1"/>
  <c r="M45" i="30"/>
  <c r="O45" i="30" s="1"/>
  <c r="M38" i="30"/>
  <c r="O38" i="30" s="1"/>
  <c r="M29" i="30"/>
  <c r="O29" i="30" s="1"/>
  <c r="M48" i="30"/>
  <c r="O48" i="30" s="1"/>
  <c r="M28" i="30"/>
  <c r="O28" i="30" s="1"/>
  <c r="M47" i="30"/>
  <c r="O47" i="30" s="1"/>
  <c r="M39" i="30"/>
  <c r="O39" i="30" s="1"/>
  <c r="M46" i="30"/>
  <c r="O46" i="30" s="1"/>
  <c r="K42" i="30"/>
  <c r="M42" i="30" s="1"/>
  <c r="O42" i="30" s="1"/>
  <c r="K43" i="30"/>
  <c r="M43" i="30" s="1"/>
  <c r="O43" i="30" s="1"/>
  <c r="K35" i="30"/>
  <c r="M35" i="30" s="1"/>
  <c r="O35" i="30" s="1"/>
  <c r="K44" i="30"/>
  <c r="M44" i="30" s="1"/>
  <c r="O44" i="30" s="1"/>
  <c r="K36" i="30"/>
  <c r="M36" i="30" s="1"/>
  <c r="O36" i="30" s="1"/>
  <c r="K50" i="30"/>
  <c r="M50" i="30" s="1"/>
  <c r="O50" i="30" s="1"/>
  <c r="M34" i="30"/>
  <c r="O34" i="30" s="1"/>
  <c r="K30" i="30"/>
  <c r="M30" i="30" s="1"/>
  <c r="O30" i="30" s="1"/>
  <c r="K31" i="30"/>
  <c r="M31" i="30" s="1"/>
  <c r="O31" i="30" s="1"/>
  <c r="K32" i="30"/>
  <c r="M32" i="30" s="1"/>
  <c r="O32" i="30" s="1"/>
  <c r="K24" i="30"/>
  <c r="M24" i="30" s="1"/>
  <c r="O24" i="30" s="1"/>
  <c r="K33" i="30"/>
  <c r="M33" i="30" s="1"/>
  <c r="O33" i="30" s="1"/>
  <c r="K25" i="30"/>
  <c r="M25" i="30" s="1"/>
  <c r="O25" i="30" s="1"/>
  <c r="I16" i="27" l="1"/>
  <c r="A5" i="30" l="1"/>
  <c r="A2" i="30"/>
  <c r="A1" i="30"/>
  <c r="A56" i="30"/>
  <c r="K23" i="30"/>
  <c r="K20" i="30"/>
  <c r="K19" i="30"/>
  <c r="K18" i="30"/>
  <c r="K17" i="30"/>
  <c r="K15" i="30"/>
  <c r="K13" i="30"/>
  <c r="K12" i="30"/>
  <c r="A12" i="30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2" i="29"/>
  <c r="A1" i="29"/>
  <c r="A5" i="29"/>
  <c r="A13" i="29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A38" i="29" s="1"/>
  <c r="A39" i="29" s="1"/>
  <c r="A40" i="29" s="1"/>
  <c r="A41" i="29" s="1"/>
  <c r="A42" i="29" s="1"/>
  <c r="A43" i="29" s="1"/>
  <c r="A44" i="29" s="1"/>
  <c r="A45" i="29" s="1"/>
  <c r="A46" i="29" s="1"/>
  <c r="A47" i="30" l="1"/>
  <c r="A48" i="30" s="1"/>
  <c r="A49" i="30" s="1"/>
  <c r="A50" i="30" s="1"/>
  <c r="A51" i="30" s="1"/>
  <c r="A52" i="30" s="1"/>
  <c r="A55" i="30" s="1"/>
  <c r="A57" i="30" s="1"/>
  <c r="K16" i="30"/>
  <c r="K11" i="30"/>
  <c r="K21" i="30"/>
  <c r="G57" i="30"/>
  <c r="K14" i="30"/>
  <c r="K22" i="30"/>
  <c r="J12" i="30"/>
  <c r="M12" i="30" s="1"/>
  <c r="O12" i="30" s="1"/>
  <c r="J13" i="30"/>
  <c r="M13" i="30" s="1"/>
  <c r="O13" i="30" s="1"/>
  <c r="J14" i="30"/>
  <c r="J15" i="30"/>
  <c r="M15" i="30" s="1"/>
  <c r="O15" i="30" s="1"/>
  <c r="J16" i="30"/>
  <c r="M16" i="30" s="1"/>
  <c r="O16" i="30" s="1"/>
  <c r="J17" i="30"/>
  <c r="M17" i="30" s="1"/>
  <c r="O17" i="30" s="1"/>
  <c r="J18" i="30"/>
  <c r="M18" i="30" s="1"/>
  <c r="O18" i="30" s="1"/>
  <c r="J19" i="30"/>
  <c r="M19" i="30" s="1"/>
  <c r="O19" i="30" s="1"/>
  <c r="J20" i="30"/>
  <c r="M20" i="30" s="1"/>
  <c r="O20" i="30" s="1"/>
  <c r="J21" i="30"/>
  <c r="J22" i="30"/>
  <c r="J23" i="30"/>
  <c r="M23" i="30" s="1"/>
  <c r="O23" i="30" s="1"/>
  <c r="M21" i="30" l="1"/>
  <c r="O21" i="30" s="1"/>
  <c r="M22" i="30"/>
  <c r="O22" i="30" s="1"/>
  <c r="K57" i="30"/>
  <c r="M14" i="30"/>
  <c r="O14" i="30" s="1"/>
  <c r="J57" i="30"/>
  <c r="M11" i="30"/>
  <c r="O11" i="30" l="1"/>
  <c r="A5" i="28" l="1"/>
  <c r="A2" i="28"/>
  <c r="A1" i="28"/>
  <c r="A12" i="27" l="1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30" i="27" s="1"/>
  <c r="A31" i="27" s="1"/>
  <c r="A32" i="27" s="1"/>
  <c r="A33" i="27" s="1"/>
  <c r="A34" i="27" s="1"/>
  <c r="A35" i="27" s="1"/>
  <c r="A36" i="27" s="1"/>
  <c r="A37" i="27" s="1"/>
  <c r="A38" i="27" s="1"/>
  <c r="A39" i="27" s="1"/>
  <c r="A40" i="27" s="1"/>
  <c r="A41" i="27" s="1"/>
  <c r="A42" i="27" s="1"/>
  <c r="A43" i="27" s="1"/>
  <c r="A44" i="27" s="1"/>
  <c r="A45" i="27" s="1"/>
  <c r="A46" i="27" s="1"/>
  <c r="A47" i="27" s="1"/>
  <c r="A48" i="27" s="1"/>
  <c r="A49" i="27" s="1"/>
  <c r="A50" i="27" s="1"/>
  <c r="A51" i="27" s="1"/>
  <c r="A52" i="27" s="1"/>
  <c r="A53" i="27" s="1"/>
  <c r="A54" i="27" s="1"/>
  <c r="A55" i="27" s="1"/>
  <c r="A56" i="27" s="1"/>
  <c r="A57" i="27" s="1"/>
  <c r="A58" i="27" s="1"/>
  <c r="A59" i="27" s="1"/>
  <c r="A60" i="27" s="1"/>
  <c r="A63" i="27" l="1"/>
  <c r="A64" i="27" s="1"/>
  <c r="A65" i="27" s="1"/>
  <c r="A66" i="27" s="1"/>
  <c r="A67" i="27" s="1"/>
  <c r="A68" i="27" s="1"/>
  <c r="A69" i="27" s="1"/>
  <c r="A70" i="27" s="1"/>
  <c r="A71" i="27" s="1"/>
  <c r="A72" i="27" s="1"/>
  <c r="A73" i="27" s="1"/>
  <c r="A74" i="27" s="1"/>
  <c r="A75" i="27" s="1"/>
  <c r="A61" i="27"/>
  <c r="A5" i="27"/>
  <c r="A2" i="27"/>
  <c r="A1" i="27"/>
  <c r="G56" i="20"/>
  <c r="F56" i="20"/>
  <c r="E56" i="20"/>
  <c r="D56" i="20"/>
  <c r="C56" i="20"/>
  <c r="B56" i="20"/>
  <c r="B37" i="20"/>
  <c r="C37" i="20"/>
  <c r="G37" i="20"/>
  <c r="F37" i="20"/>
  <c r="E37" i="20"/>
  <c r="D37" i="20"/>
  <c r="A5" i="26"/>
  <c r="A2" i="26"/>
  <c r="A1" i="26"/>
  <c r="G120" i="21"/>
  <c r="G56" i="21"/>
  <c r="H24" i="21"/>
  <c r="G20" i="21"/>
  <c r="H122" i="21"/>
  <c r="G122" i="21"/>
  <c r="H121" i="21"/>
  <c r="H64" i="21"/>
  <c r="G121" i="21"/>
  <c r="H120" i="21"/>
  <c r="H63" i="21"/>
  <c r="G63" i="21"/>
  <c r="H62" i="21"/>
  <c r="G62" i="21"/>
  <c r="H118" i="21"/>
  <c r="G118" i="21"/>
  <c r="H117" i="21"/>
  <c r="H60" i="21"/>
  <c r="G117" i="21"/>
  <c r="G60" i="21"/>
  <c r="H116" i="21"/>
  <c r="G116" i="21"/>
  <c r="H58" i="21"/>
  <c r="G115" i="21"/>
  <c r="G58" i="21"/>
  <c r="H114" i="21"/>
  <c r="G114" i="21"/>
  <c r="G57" i="21"/>
  <c r="H113" i="21"/>
  <c r="G113" i="21"/>
  <c r="H112" i="21"/>
  <c r="G55" i="21"/>
  <c r="H111" i="21"/>
  <c r="H54" i="21"/>
  <c r="G111" i="21"/>
  <c r="G54" i="21"/>
  <c r="H123" i="21"/>
  <c r="G123" i="21"/>
  <c r="H110" i="21"/>
  <c r="H53" i="21"/>
  <c r="G110" i="21"/>
  <c r="H109" i="21"/>
  <c r="H52" i="21"/>
  <c r="G109" i="21"/>
  <c r="G52" i="21"/>
  <c r="H108" i="21"/>
  <c r="G108" i="21"/>
  <c r="G51" i="21"/>
  <c r="H107" i="21"/>
  <c r="G107" i="21"/>
  <c r="H106" i="21"/>
  <c r="G106" i="21"/>
  <c r="G49" i="21"/>
  <c r="H105" i="21"/>
  <c r="G105" i="21"/>
  <c r="G48" i="21"/>
  <c r="H104" i="21"/>
  <c r="G104" i="21"/>
  <c r="G47" i="21"/>
  <c r="H103" i="21"/>
  <c r="H46" i="21"/>
  <c r="G46" i="21"/>
  <c r="H102" i="21"/>
  <c r="H45" i="21"/>
  <c r="G102" i="21"/>
  <c r="G45" i="21"/>
  <c r="H101" i="21"/>
  <c r="H44" i="21"/>
  <c r="G101" i="21"/>
  <c r="H100" i="21"/>
  <c r="G100" i="21"/>
  <c r="H42" i="21"/>
  <c r="G99" i="21"/>
  <c r="G42" i="21"/>
  <c r="H98" i="21"/>
  <c r="G98" i="21"/>
  <c r="G41" i="21"/>
  <c r="H97" i="21"/>
  <c r="G97" i="21"/>
  <c r="G40" i="21"/>
  <c r="H96" i="21"/>
  <c r="H39" i="21"/>
  <c r="G96" i="21"/>
  <c r="G39" i="21"/>
  <c r="H95" i="21"/>
  <c r="H38" i="21"/>
  <c r="G38" i="21"/>
  <c r="H94" i="21"/>
  <c r="G94" i="21"/>
  <c r="H93" i="21"/>
  <c r="H36" i="21"/>
  <c r="G93" i="21"/>
  <c r="H35" i="21"/>
  <c r="G92" i="21"/>
  <c r="H34" i="21"/>
  <c r="G91" i="21"/>
  <c r="H90" i="21"/>
  <c r="G90" i="21"/>
  <c r="H89" i="21"/>
  <c r="H32" i="21"/>
  <c r="G89" i="21"/>
  <c r="G32" i="21"/>
  <c r="H88" i="21"/>
  <c r="H31" i="21"/>
  <c r="G88" i="21"/>
  <c r="G31" i="21"/>
  <c r="H87" i="21"/>
  <c r="H30" i="21"/>
  <c r="G30" i="21"/>
  <c r="H86" i="21"/>
  <c r="G86" i="21"/>
  <c r="H85" i="21"/>
  <c r="G85" i="21"/>
  <c r="G28" i="21"/>
  <c r="H84" i="21"/>
  <c r="H27" i="21"/>
  <c r="G84" i="21"/>
  <c r="G27" i="21"/>
  <c r="H26" i="21"/>
  <c r="G83" i="21"/>
  <c r="G26" i="21"/>
  <c r="H82" i="21"/>
  <c r="G82" i="21"/>
  <c r="H81" i="21"/>
  <c r="G81" i="21"/>
  <c r="G24" i="21"/>
  <c r="H80" i="21"/>
  <c r="G80" i="21"/>
  <c r="H79" i="21"/>
  <c r="G79" i="21"/>
  <c r="H21" i="21"/>
  <c r="G78" i="21"/>
  <c r="G21" i="21"/>
  <c r="H77" i="21"/>
  <c r="H20" i="21"/>
  <c r="H76" i="21"/>
  <c r="G76" i="21"/>
  <c r="H75" i="21"/>
  <c r="G75" i="21"/>
  <c r="G18" i="21"/>
  <c r="H74" i="21"/>
  <c r="H17" i="21"/>
  <c r="G74" i="21"/>
  <c r="H16" i="21"/>
  <c r="G16" i="21"/>
  <c r="H72" i="21"/>
  <c r="H15" i="21"/>
  <c r="G72" i="21"/>
  <c r="H71" i="21"/>
  <c r="G71" i="21"/>
  <c r="G14" i="21"/>
  <c r="H70" i="21"/>
  <c r="G13" i="21"/>
  <c r="H12" i="21"/>
  <c r="G69" i="21"/>
  <c r="H68" i="21"/>
  <c r="G68" i="21"/>
  <c r="G11" i="21"/>
  <c r="H67" i="21"/>
  <c r="E9" i="20" s="1"/>
  <c r="H48" i="21" l="1"/>
  <c r="G112" i="21"/>
  <c r="AH67" i="26"/>
  <c r="H28" i="21"/>
  <c r="H92" i="21"/>
  <c r="G36" i="21"/>
  <c r="H40" i="21"/>
  <c r="G12" i="21"/>
  <c r="G44" i="21"/>
  <c r="G43" i="21"/>
  <c r="G103" i="21"/>
  <c r="H50" i="21"/>
  <c r="G61" i="21"/>
  <c r="E67" i="26"/>
  <c r="G67" i="21"/>
  <c r="AK67" i="26"/>
  <c r="H11" i="21"/>
  <c r="H14" i="21"/>
  <c r="H22" i="21"/>
  <c r="G25" i="21"/>
  <c r="H29" i="21"/>
  <c r="H91" i="21"/>
  <c r="E13" i="20" s="1"/>
  <c r="G64" i="21"/>
  <c r="H18" i="21"/>
  <c r="Z67" i="26"/>
  <c r="G70" i="21"/>
  <c r="G73" i="21"/>
  <c r="G19" i="21"/>
  <c r="G35" i="21"/>
  <c r="G95" i="21"/>
  <c r="H59" i="21"/>
  <c r="J67" i="26"/>
  <c r="AC67" i="26"/>
  <c r="H19" i="21"/>
  <c r="G87" i="21"/>
  <c r="H43" i="21"/>
  <c r="H47" i="21"/>
  <c r="H51" i="21"/>
  <c r="G33" i="21"/>
  <c r="AN67" i="26"/>
  <c r="H10" i="21"/>
  <c r="G15" i="21"/>
  <c r="G23" i="21"/>
  <c r="H41" i="21"/>
  <c r="H73" i="21"/>
  <c r="H78" i="21"/>
  <c r="H83" i="21"/>
  <c r="G29" i="21"/>
  <c r="G34" i="21"/>
  <c r="G37" i="21"/>
  <c r="H119" i="21"/>
  <c r="G65" i="21"/>
  <c r="G77" i="21"/>
  <c r="H37" i="21"/>
  <c r="P67" i="26"/>
  <c r="H69" i="21"/>
  <c r="H67" i="26"/>
  <c r="H13" i="21"/>
  <c r="H33" i="21"/>
  <c r="M67" i="26"/>
  <c r="AF67" i="26"/>
  <c r="G17" i="21"/>
  <c r="G22" i="21"/>
  <c r="H23" i="21"/>
  <c r="H25" i="21"/>
  <c r="G66" i="21"/>
  <c r="H56" i="21"/>
  <c r="G53" i="21"/>
  <c r="H49" i="21"/>
  <c r="H57" i="21"/>
  <c r="H61" i="21"/>
  <c r="H65" i="21"/>
  <c r="G50" i="21"/>
  <c r="H66" i="21"/>
  <c r="G59" i="21"/>
  <c r="G119" i="21"/>
  <c r="H55" i="21"/>
  <c r="H99" i="21"/>
  <c r="E15" i="20" s="1"/>
  <c r="H115" i="21"/>
  <c r="E17" i="20" s="1"/>
  <c r="K67" i="26"/>
  <c r="S67" i="26"/>
  <c r="AI67" i="26"/>
  <c r="D67" i="26"/>
  <c r="T67" i="26"/>
  <c r="AB67" i="26"/>
  <c r="N67" i="26"/>
  <c r="V67" i="26"/>
  <c r="AL67" i="26"/>
  <c r="G67" i="26"/>
  <c r="W67" i="26"/>
  <c r="AE67" i="26"/>
  <c r="Q67" i="26"/>
  <c r="Y67" i="26"/>
  <c r="AO67" i="26"/>
  <c r="G125" i="21" l="1"/>
  <c r="D9" i="20"/>
  <c r="F9" i="20" s="1"/>
  <c r="H125" i="21"/>
  <c r="E11" i="20"/>
  <c r="E19" i="20" s="1"/>
  <c r="D13" i="20"/>
  <c r="F13" i="20" s="1"/>
  <c r="D17" i="20"/>
  <c r="F17" i="20" s="1"/>
  <c r="D15" i="20"/>
  <c r="F15" i="20" s="1"/>
  <c r="U67" i="26"/>
  <c r="D11" i="20"/>
  <c r="X67" i="26"/>
  <c r="R67" i="26"/>
  <c r="AP67" i="26"/>
  <c r="I67" i="26"/>
  <c r="AD67" i="26"/>
  <c r="L67" i="26"/>
  <c r="AM67" i="26"/>
  <c r="F67" i="26"/>
  <c r="AA67" i="26"/>
  <c r="O67" i="26"/>
  <c r="AG67" i="26"/>
  <c r="AJ67" i="26"/>
  <c r="F11" i="20" l="1"/>
  <c r="F19" i="20"/>
  <c r="D19" i="20"/>
  <c r="A5" i="21" l="1"/>
  <c r="J123" i="21" l="1"/>
  <c r="J66" i="21"/>
  <c r="J10" i="21" l="1"/>
  <c r="A5" i="20" l="1"/>
  <c r="A1" i="20"/>
  <c r="A1" i="21"/>
  <c r="J122" i="21" l="1"/>
  <c r="J121" i="21"/>
  <c r="J120" i="21"/>
  <c r="J119" i="21"/>
  <c r="J118" i="21"/>
  <c r="J117" i="21"/>
  <c r="J116" i="21"/>
  <c r="J115" i="21"/>
  <c r="J114" i="21"/>
  <c r="J113" i="21"/>
  <c r="J112" i="21"/>
  <c r="J111" i="21"/>
  <c r="J110" i="21"/>
  <c r="J109" i="21"/>
  <c r="J108" i="21"/>
  <c r="J107" i="21"/>
  <c r="J106" i="21"/>
  <c r="J105" i="21"/>
  <c r="J104" i="21"/>
  <c r="J103" i="21"/>
  <c r="J102" i="21"/>
  <c r="J101" i="21"/>
  <c r="J100" i="21"/>
  <c r="J99" i="21"/>
  <c r="J98" i="21"/>
  <c r="J97" i="21"/>
  <c r="J96" i="21"/>
  <c r="J95" i="21"/>
  <c r="J94" i="21"/>
  <c r="J93" i="21"/>
  <c r="J92" i="21"/>
  <c r="J91" i="21"/>
  <c r="J90" i="21"/>
  <c r="J89" i="21"/>
  <c r="J88" i="21"/>
  <c r="J87" i="21"/>
  <c r="J86" i="21"/>
  <c r="J85" i="21"/>
  <c r="J84" i="21"/>
  <c r="J83" i="21"/>
  <c r="J82" i="21"/>
  <c r="J81" i="21"/>
  <c r="J80" i="21"/>
  <c r="J79" i="21"/>
  <c r="J78" i="21"/>
  <c r="J77" i="21"/>
  <c r="J76" i="21"/>
  <c r="J75" i="21"/>
  <c r="J74" i="21"/>
  <c r="J73" i="21"/>
  <c r="J72" i="21"/>
  <c r="J71" i="21"/>
  <c r="J70" i="21"/>
  <c r="J69" i="21"/>
  <c r="J68" i="21"/>
  <c r="J67" i="21"/>
  <c r="J65" i="21"/>
  <c r="J64" i="21"/>
  <c r="J63" i="21"/>
  <c r="J62" i="21"/>
  <c r="J61" i="21"/>
  <c r="J60" i="21"/>
  <c r="J59" i="21"/>
  <c r="J58" i="21"/>
  <c r="J57" i="21"/>
  <c r="J56" i="21"/>
  <c r="J55" i="21"/>
  <c r="J54" i="21"/>
  <c r="J53" i="21"/>
  <c r="J52" i="21"/>
  <c r="J51" i="21"/>
  <c r="J50" i="21"/>
  <c r="J49" i="21"/>
  <c r="J48" i="21"/>
  <c r="J47" i="21"/>
  <c r="J46" i="21"/>
  <c r="J45" i="21"/>
  <c r="J44" i="21"/>
  <c r="J43" i="21"/>
  <c r="J42" i="21"/>
  <c r="J41" i="21"/>
  <c r="J40" i="21"/>
  <c r="J39" i="21"/>
  <c r="J38" i="21"/>
  <c r="J37" i="21"/>
  <c r="J36" i="21"/>
  <c r="J35" i="21"/>
  <c r="J34" i="21"/>
  <c r="J33" i="21"/>
  <c r="J32" i="21"/>
  <c r="J31" i="21"/>
  <c r="J30" i="21"/>
  <c r="J29" i="21"/>
  <c r="J28" i="21"/>
  <c r="J27" i="21"/>
  <c r="J26" i="21"/>
  <c r="J25" i="21"/>
  <c r="J24" i="21"/>
  <c r="J23" i="21"/>
  <c r="J22" i="21"/>
  <c r="J21" i="21"/>
  <c r="J20" i="21"/>
  <c r="J19" i="21"/>
  <c r="J18" i="21"/>
  <c r="J17" i="21"/>
  <c r="J16" i="21"/>
  <c r="J15" i="21"/>
  <c r="J14" i="21"/>
  <c r="J13" i="21"/>
  <c r="J12" i="21"/>
  <c r="J11" i="21"/>
  <c r="A11" i="2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93" i="21" s="1"/>
  <c r="A94" i="21" s="1"/>
  <c r="A95" i="21" s="1"/>
  <c r="A96" i="21" s="1"/>
  <c r="A97" i="21" s="1"/>
  <c r="A98" i="21" s="1"/>
  <c r="A99" i="21" s="1"/>
  <c r="A100" i="21" s="1"/>
  <c r="A101" i="21" s="1"/>
  <c r="A102" i="21" s="1"/>
  <c r="A103" i="21" s="1"/>
  <c r="A104" i="21" s="1"/>
  <c r="A105" i="21" s="1"/>
  <c r="A106" i="21" s="1"/>
  <c r="A107" i="21" s="1"/>
  <c r="A108" i="21" s="1"/>
  <c r="A109" i="21" s="1"/>
  <c r="A110" i="21" s="1"/>
  <c r="A111" i="21" s="1"/>
  <c r="A112" i="21" s="1"/>
  <c r="A113" i="21" s="1"/>
  <c r="A114" i="21" s="1"/>
  <c r="A115" i="21" s="1"/>
  <c r="A116" i="21" s="1"/>
  <c r="A117" i="21" s="1"/>
  <c r="A118" i="21" s="1"/>
  <c r="A119" i="21" s="1"/>
  <c r="A120" i="21" s="1"/>
  <c r="A121" i="21" s="1"/>
  <c r="A122" i="21" s="1"/>
  <c r="A123" i="21" s="1"/>
  <c r="A5" i="8" l="1"/>
  <c r="A1" i="8" l="1"/>
  <c r="A5" i="12" l="1"/>
  <c r="A1" i="12"/>
  <c r="D22" i="8" l="1"/>
  <c r="G22" i="8" s="1"/>
  <c r="D21" i="8"/>
  <c r="G21" i="8" s="1"/>
  <c r="D20" i="8"/>
  <c r="G20" i="8" s="1"/>
  <c r="D19" i="8"/>
  <c r="G19" i="8" s="1"/>
  <c r="D10" i="8"/>
  <c r="G10" i="8" s="1"/>
  <c r="D11" i="8"/>
  <c r="G11" i="8" s="1"/>
  <c r="D12" i="8"/>
  <c r="G12" i="8" s="1"/>
  <c r="D13" i="8"/>
  <c r="G13" i="8" s="1"/>
  <c r="D14" i="8"/>
  <c r="G14" i="8" s="1"/>
  <c r="D15" i="8"/>
  <c r="G15" i="8" s="1"/>
  <c r="D16" i="8"/>
  <c r="G16" i="8" s="1"/>
  <c r="D17" i="8"/>
  <c r="G17" i="8" s="1"/>
  <c r="D9" i="8"/>
  <c r="G9" i="8" s="1"/>
  <c r="N22" i="8" l="1"/>
  <c r="O22" i="8" s="1"/>
  <c r="N21" i="8"/>
  <c r="O21" i="8" s="1"/>
  <c r="N20" i="8"/>
  <c r="O20" i="8" s="1"/>
  <c r="N19" i="8"/>
  <c r="O19" i="8" s="1"/>
  <c r="O18" i="8"/>
  <c r="N17" i="8"/>
  <c r="O17" i="8" s="1"/>
  <c r="N16" i="8"/>
  <c r="O16" i="8" s="1"/>
  <c r="N15" i="8"/>
  <c r="O15" i="8" s="1"/>
  <c r="N14" i="8"/>
  <c r="O14" i="8" s="1"/>
  <c r="N13" i="8"/>
  <c r="O13" i="8" s="1"/>
  <c r="N12" i="8"/>
  <c r="O12" i="8" s="1"/>
  <c r="N11" i="8"/>
  <c r="O11" i="8" s="1"/>
  <c r="N10" i="8"/>
  <c r="O10" i="8" s="1"/>
  <c r="N9" i="8"/>
  <c r="O9" i="8" s="1"/>
  <c r="O24" i="8" l="1"/>
  <c r="P24" i="8" s="1"/>
  <c r="H13" i="8" l="1"/>
  <c r="I13" i="8" s="1"/>
  <c r="H14" i="8"/>
  <c r="I14" i="8" s="1"/>
  <c r="H22" i="8"/>
  <c r="I22" i="8" s="1"/>
  <c r="H19" i="8"/>
  <c r="I19" i="8" s="1"/>
  <c r="H17" i="8"/>
  <c r="I17" i="8" s="1"/>
  <c r="H15" i="8"/>
  <c r="I15" i="8" s="1"/>
  <c r="H10" i="8"/>
  <c r="I10" i="8" s="1"/>
  <c r="H11" i="8"/>
  <c r="I11" i="8" s="1"/>
  <c r="H16" i="8"/>
  <c r="I16" i="8" s="1"/>
  <c r="H9" i="8"/>
  <c r="I9" i="8" s="1"/>
  <c r="H21" i="8"/>
  <c r="I21" i="8" s="1"/>
  <c r="H20" i="8"/>
  <c r="I20" i="8" s="1"/>
  <c r="H12" i="8"/>
  <c r="I12" i="8" s="1"/>
  <c r="I24" i="8" l="1"/>
  <c r="J24" i="8" s="1"/>
  <c r="A2" i="20" l="1"/>
  <c r="A2" i="21"/>
  <c r="A2" i="8"/>
  <c r="A2" i="12"/>
  <c r="O57" i="30" l="1"/>
  <c r="M57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Thad Clardy</author>
  </authors>
  <commentList>
    <comment ref="E66" authorId="0" shapeId="0" xr:uid="{F3950BFC-D7BA-44AC-8669-9F27CB43156E}">
      <text>
        <r>
          <rPr>
            <b/>
            <sz val="9"/>
            <color indexed="81"/>
            <rFont val="Tahoma"/>
            <family val="2"/>
          </rPr>
          <t>Thad Clardy:</t>
        </r>
        <r>
          <rPr>
            <sz val="9"/>
            <color indexed="81"/>
            <rFont val="Tahoma"/>
            <family val="2"/>
          </rPr>
          <t xml:space="preserve">
GASB68 exclusion</t>
        </r>
      </text>
    </comment>
  </commentList>
</comments>
</file>

<file path=xl/sharedStrings.xml><?xml version="1.0" encoding="utf-8"?>
<sst xmlns="http://schemas.openxmlformats.org/spreadsheetml/2006/main" count="1900" uniqueCount="819">
  <si>
    <t>903000 - Cust Recs+Coll Exp</t>
  </si>
  <si>
    <t>902000 - Meter Reading Exps</t>
  </si>
  <si>
    <t>901000 - Supervision</t>
  </si>
  <si>
    <t>908011 - Cust Solutions Ele</t>
  </si>
  <si>
    <t>908000 - Cust Assist Exps</t>
  </si>
  <si>
    <t>597000 - Main Meters</t>
  </si>
  <si>
    <t>595000 - Main Line Transform</t>
  </si>
  <si>
    <t>594000 - Main U/G Lines</t>
  </si>
  <si>
    <t>593000 - Main O/H Lines</t>
  </si>
  <si>
    <t>592000 - Main Station Equip</t>
  </si>
  <si>
    <t>590000 - Main Sup + Eng</t>
  </si>
  <si>
    <t>570000 - Main Of Stat Equip</t>
  </si>
  <si>
    <t>554000 - Main Misc Oth Pwr</t>
  </si>
  <si>
    <t>553000 - Main Gen + Ele Plt</t>
  </si>
  <si>
    <t>552000 - Main Structures</t>
  </si>
  <si>
    <t>551000 - Main Sup And Eng</t>
  </si>
  <si>
    <t>545000 - Main Misc Hydra Plt</t>
  </si>
  <si>
    <t>544000 - Main Electric Plant</t>
  </si>
  <si>
    <t>542000 - Main Of Structures</t>
  </si>
  <si>
    <t>514000 - Main Misc Steam Plt</t>
  </si>
  <si>
    <t>513000 - Main Electric Plant</t>
  </si>
  <si>
    <t>512000 - Main Boiler Plant</t>
  </si>
  <si>
    <t>511000 - Maint Structures</t>
  </si>
  <si>
    <t>510000 - Main Sup + Eng</t>
  </si>
  <si>
    <t>588000 - Misc Distrib Exp</t>
  </si>
  <si>
    <t>586000 - Meter Expenses</t>
  </si>
  <si>
    <t>584000 - Underground Ln Exp</t>
  </si>
  <si>
    <t>583000 - Overhead Line Exp</t>
  </si>
  <si>
    <t>581000 - Load Dispatching</t>
  </si>
  <si>
    <t>580000 - Oper Sup + Eng</t>
  </si>
  <si>
    <t>566000 - Misc Transm Exp</t>
  </si>
  <si>
    <t>561000 - Load Dispatching</t>
  </si>
  <si>
    <t>560000 - Sup And Engineering</t>
  </si>
  <si>
    <t>549000 - Misc Oth Pwr Gen</t>
  </si>
  <si>
    <t>546000 - Oper Sup And Eng</t>
  </si>
  <si>
    <t>538000 - Electric Expenses</t>
  </si>
  <si>
    <t>506000 - Misc Steam Pwr Exp</t>
  </si>
  <si>
    <t>505000 - Electric Expense</t>
  </si>
  <si>
    <t>502000 - Steam Expense</t>
  </si>
  <si>
    <t>500000 - Oper Sup + Engin</t>
  </si>
  <si>
    <t>1 - Electric Service</t>
  </si>
  <si>
    <t>Grand Total</t>
  </si>
  <si>
    <t>932000 - Maint General Plant</t>
  </si>
  <si>
    <t>926000 - Emp Pensions + Ben</t>
  </si>
  <si>
    <t>924000 - Property Insurance</t>
  </si>
  <si>
    <t>923000 - Outside Ser Empl</t>
  </si>
  <si>
    <t>922000 - Admin Exp Trsfr-Cr</t>
  </si>
  <si>
    <t>921000 - Office Sup + Exp</t>
  </si>
  <si>
    <t>920000 - Adm + Gen Salaries</t>
  </si>
  <si>
    <t>904000 - Uncollectle Accts</t>
  </si>
  <si>
    <t>930200 - Misc General Exp</t>
  </si>
  <si>
    <t>928000 - Reg Commission Exp</t>
  </si>
  <si>
    <t>925000 - Inj And Damages</t>
  </si>
  <si>
    <t>909015 - Inf + Ins Adv Com</t>
  </si>
  <si>
    <t>908015 - Cust Solutions Comm</t>
  </si>
  <si>
    <t>930201 - Misc General Exp</t>
  </si>
  <si>
    <t>928001 - Reg Commission Exp -Elec</t>
  </si>
  <si>
    <t>925001 - Inj And Damages</t>
  </si>
  <si>
    <t>924001 - Property Insurance</t>
  </si>
  <si>
    <t>572000 - Main Of U/G Lines</t>
  </si>
  <si>
    <t>569000 - Main Of Structures</t>
  </si>
  <si>
    <t>582000 - Station Expenses</t>
  </si>
  <si>
    <t>563000 - Overhead Line Exp</t>
  </si>
  <si>
    <t>GL Account</t>
  </si>
  <si>
    <t>Service</t>
  </si>
  <si>
    <t>Colorado Springs Utilities</t>
  </si>
  <si>
    <t>TABLE OF CONTENTS</t>
  </si>
  <si>
    <t>SCHEDULE TITLE</t>
  </si>
  <si>
    <t>SCHEDULE 11</t>
  </si>
  <si>
    <t>Transmission</t>
  </si>
  <si>
    <t>Account</t>
  </si>
  <si>
    <t>Desc</t>
  </si>
  <si>
    <t>E310</t>
  </si>
  <si>
    <t>Intangible Plant</t>
  </si>
  <si>
    <t>E311</t>
  </si>
  <si>
    <t>E312</t>
  </si>
  <si>
    <t>310-346</t>
  </si>
  <si>
    <t>Generation</t>
  </si>
  <si>
    <t>E313</t>
  </si>
  <si>
    <t>E314</t>
  </si>
  <si>
    <t>350-359</t>
  </si>
  <si>
    <t>E315</t>
  </si>
  <si>
    <t>E316</t>
  </si>
  <si>
    <t>E330</t>
  </si>
  <si>
    <t>Land &amp; Land Rights</t>
  </si>
  <si>
    <t>E331</t>
  </si>
  <si>
    <t>E332</t>
  </si>
  <si>
    <t>Station Equipment</t>
  </si>
  <si>
    <t>E333</t>
  </si>
  <si>
    <t>Storage Battery Equipment</t>
  </si>
  <si>
    <t>E334</t>
  </si>
  <si>
    <t>E335</t>
  </si>
  <si>
    <t>E340</t>
  </si>
  <si>
    <t>Underground Conduit</t>
  </si>
  <si>
    <t>E341</t>
  </si>
  <si>
    <t>E342</t>
  </si>
  <si>
    <t>Line Transformers</t>
  </si>
  <si>
    <t>E343</t>
  </si>
  <si>
    <t>E344</t>
  </si>
  <si>
    <t>Meters</t>
  </si>
  <si>
    <t>E345</t>
  </si>
  <si>
    <t>E346</t>
  </si>
  <si>
    <t>E350</t>
  </si>
  <si>
    <t>E352</t>
  </si>
  <si>
    <t>387-399</t>
  </si>
  <si>
    <t>General Plant</t>
  </si>
  <si>
    <t>E353</t>
  </si>
  <si>
    <t>E354</t>
  </si>
  <si>
    <t>E355</t>
  </si>
  <si>
    <t>E356</t>
  </si>
  <si>
    <t>E357</t>
  </si>
  <si>
    <t>E358</t>
  </si>
  <si>
    <t>E359</t>
  </si>
  <si>
    <t>E360</t>
  </si>
  <si>
    <t>E361</t>
  </si>
  <si>
    <t>E362</t>
  </si>
  <si>
    <t>E363</t>
  </si>
  <si>
    <t>E364</t>
  </si>
  <si>
    <t>E365</t>
  </si>
  <si>
    <t>E366</t>
  </si>
  <si>
    <t>E367</t>
  </si>
  <si>
    <t>E368</t>
  </si>
  <si>
    <t>E369</t>
  </si>
  <si>
    <t>E370</t>
  </si>
  <si>
    <t>E371</t>
  </si>
  <si>
    <t>E373</t>
  </si>
  <si>
    <t>E388</t>
  </si>
  <si>
    <t>E389</t>
  </si>
  <si>
    <t>E390</t>
  </si>
  <si>
    <t>E391</t>
  </si>
  <si>
    <t>E392</t>
  </si>
  <si>
    <t>E393</t>
  </si>
  <si>
    <t>E394</t>
  </si>
  <si>
    <t>E395</t>
  </si>
  <si>
    <t>E396</t>
  </si>
  <si>
    <t>E397</t>
  </si>
  <si>
    <t>E398</t>
  </si>
  <si>
    <t>E399</t>
  </si>
  <si>
    <t>Function</t>
  </si>
  <si>
    <t>Acct</t>
  </si>
  <si>
    <t>Yrs</t>
  </si>
  <si>
    <t>Weighted Avg</t>
  </si>
  <si>
    <t>2013 Capital</t>
  </si>
  <si>
    <t>Distribution</t>
  </si>
  <si>
    <t>Description</t>
  </si>
  <si>
    <t>Total</t>
  </si>
  <si>
    <t>Acct Code</t>
  </si>
  <si>
    <t>Net Book Value</t>
  </si>
  <si>
    <t>2014 Capital</t>
  </si>
  <si>
    <t>Gross Plant</t>
  </si>
  <si>
    <t>Accum Depr</t>
  </si>
  <si>
    <t>Net Plant</t>
  </si>
  <si>
    <t>Asset Type</t>
  </si>
  <si>
    <t>E303</t>
  </si>
  <si>
    <t>E336</t>
  </si>
  <si>
    <t>Line No.</t>
  </si>
  <si>
    <t>Account Name</t>
  </si>
  <si>
    <t>Begin Balance</t>
  </si>
  <si>
    <t>Ending Balance</t>
  </si>
  <si>
    <t>Class</t>
  </si>
  <si>
    <t>Dep</t>
  </si>
  <si>
    <t>303000-0001</t>
  </si>
  <si>
    <t>Miscellaneous Intangible Plant</t>
  </si>
  <si>
    <t>Electric</t>
  </si>
  <si>
    <t>Intangible</t>
  </si>
  <si>
    <t>310000-0001</t>
  </si>
  <si>
    <t>Land and Land Rights</t>
  </si>
  <si>
    <t>Production Plant</t>
  </si>
  <si>
    <t>Land</t>
  </si>
  <si>
    <t>311000-0001</t>
  </si>
  <si>
    <t>Structures and Improvements</t>
  </si>
  <si>
    <t/>
  </si>
  <si>
    <t>312000-0001</t>
  </si>
  <si>
    <t>Boiler Plant Equipment</t>
  </si>
  <si>
    <t>313000-0001</t>
  </si>
  <si>
    <t>Engines and Engine-Driven Generators</t>
  </si>
  <si>
    <t>314000-0001</t>
  </si>
  <si>
    <t>Turbo-Generator Units</t>
  </si>
  <si>
    <t>315000-0001</t>
  </si>
  <si>
    <t>Accessory Electric Equipment</t>
  </si>
  <si>
    <t>316000-0001</t>
  </si>
  <si>
    <t>Miscellaneous Power Plant Equipment</t>
  </si>
  <si>
    <t>330000-0001</t>
  </si>
  <si>
    <t>331000-0001</t>
  </si>
  <si>
    <t>332000-0001</t>
  </si>
  <si>
    <t>Reservoirs, Dams, and Waterways</t>
  </si>
  <si>
    <t>333000-0001</t>
  </si>
  <si>
    <t>Water Wheels, Turbines and Generators</t>
  </si>
  <si>
    <t>334000-0001</t>
  </si>
  <si>
    <t>335000-0001</t>
  </si>
  <si>
    <t>336000-0001</t>
  </si>
  <si>
    <t>340000-0001</t>
  </si>
  <si>
    <t>341000-0001</t>
  </si>
  <si>
    <t>342000-0001</t>
  </si>
  <si>
    <t>Fuel Holders, Producers, and Accessories</t>
  </si>
  <si>
    <t>343000-0001</t>
  </si>
  <si>
    <t>Prime Movers</t>
  </si>
  <si>
    <t>344000-0001</t>
  </si>
  <si>
    <t>Generators</t>
  </si>
  <si>
    <t>345000-0001</t>
  </si>
  <si>
    <t>346000-0001</t>
  </si>
  <si>
    <t>350000-0001</t>
  </si>
  <si>
    <t>Transmission Plant</t>
  </si>
  <si>
    <t>352000-0001</t>
  </si>
  <si>
    <t>353000-0001</t>
  </si>
  <si>
    <t>354000-0001</t>
  </si>
  <si>
    <t>Towers and Fixtures</t>
  </si>
  <si>
    <t>355000-0001</t>
  </si>
  <si>
    <t>Poles and Fixtures</t>
  </si>
  <si>
    <t>356000-0001</t>
  </si>
  <si>
    <t>Overhead Conductors and Devices</t>
  </si>
  <si>
    <t>357000-0001</t>
  </si>
  <si>
    <t>358000-0001</t>
  </si>
  <si>
    <t>Underground Conductors and Devices</t>
  </si>
  <si>
    <t>359000-0001</t>
  </si>
  <si>
    <t>Roads and Trails</t>
  </si>
  <si>
    <t>360000-0001</t>
  </si>
  <si>
    <t>Distribution Plant</t>
  </si>
  <si>
    <t>361000-0001</t>
  </si>
  <si>
    <t>362000-0001</t>
  </si>
  <si>
    <t>363000-0001</t>
  </si>
  <si>
    <t>364000-0001</t>
  </si>
  <si>
    <t>Poles, Towers and Fixtures</t>
  </si>
  <si>
    <t>365000-0001</t>
  </si>
  <si>
    <t>366000-0001</t>
  </si>
  <si>
    <t>367000-0001</t>
  </si>
  <si>
    <t>368000-0001</t>
  </si>
  <si>
    <t>369000-0001</t>
  </si>
  <si>
    <t>Services</t>
  </si>
  <si>
    <t>370000-0001</t>
  </si>
  <si>
    <t>371000-0001</t>
  </si>
  <si>
    <t>Installations on Customers' Premises</t>
  </si>
  <si>
    <t>373000-0001</t>
  </si>
  <si>
    <t>Street Lighting and Signal Systems</t>
  </si>
  <si>
    <t>388000-0001</t>
  </si>
  <si>
    <t>Software</t>
  </si>
  <si>
    <t>389000-0001</t>
  </si>
  <si>
    <t>390000-0001</t>
  </si>
  <si>
    <t>Structures &amp; Improvements</t>
  </si>
  <si>
    <t>391000-0001</t>
  </si>
  <si>
    <t>Office Furniture &amp; Equipment</t>
  </si>
  <si>
    <t>392000-0001</t>
  </si>
  <si>
    <t>Transportation Equipment</t>
  </si>
  <si>
    <t>393000-0001</t>
  </si>
  <si>
    <t>Stores Equipment</t>
  </si>
  <si>
    <t>394000-0001</t>
  </si>
  <si>
    <t>Shop Equipment</t>
  </si>
  <si>
    <t>395000-0001</t>
  </si>
  <si>
    <t>Laboratory Equipment</t>
  </si>
  <si>
    <t>396000-0001</t>
  </si>
  <si>
    <t>Power Operated Equipment</t>
  </si>
  <si>
    <t>397000-0001</t>
  </si>
  <si>
    <t>Communication Equipment</t>
  </si>
  <si>
    <t>398000-0001</t>
  </si>
  <si>
    <t>Miscellaneous Equipment</t>
  </si>
  <si>
    <t>399000-0001</t>
  </si>
  <si>
    <t>Computer Equipment.</t>
  </si>
  <si>
    <t>303080-0001</t>
  </si>
  <si>
    <t>310080-0001</t>
  </si>
  <si>
    <t>311080-0001</t>
  </si>
  <si>
    <t>312080-0001</t>
  </si>
  <si>
    <t>313080-0001</t>
  </si>
  <si>
    <t>314080-0001</t>
  </si>
  <si>
    <t>315080-0001</t>
  </si>
  <si>
    <t>316080-0001</t>
  </si>
  <si>
    <t>330080-0001</t>
  </si>
  <si>
    <t>331080-0001</t>
  </si>
  <si>
    <t>332080-0001</t>
  </si>
  <si>
    <t>333080-0001</t>
  </si>
  <si>
    <t>334080-0001</t>
  </si>
  <si>
    <t>335080-0001</t>
  </si>
  <si>
    <t>336080-0001</t>
  </si>
  <si>
    <t>340080-0001</t>
  </si>
  <si>
    <t>341080-0001</t>
  </si>
  <si>
    <t>342080-0001</t>
  </si>
  <si>
    <t>343080-0001</t>
  </si>
  <si>
    <t>344080-0001</t>
  </si>
  <si>
    <t>345080-0001</t>
  </si>
  <si>
    <t>346080-0001</t>
  </si>
  <si>
    <t>350080-0001</t>
  </si>
  <si>
    <t>352080-0001</t>
  </si>
  <si>
    <t>353080-0001</t>
  </si>
  <si>
    <t>354080-0001</t>
  </si>
  <si>
    <t>355080-0001</t>
  </si>
  <si>
    <t>356080-0001</t>
  </si>
  <si>
    <t>357080-0001</t>
  </si>
  <si>
    <t>358080-0001</t>
  </si>
  <si>
    <t>359080-0001</t>
  </si>
  <si>
    <t>360080-0001</t>
  </si>
  <si>
    <t>361080-0001</t>
  </si>
  <si>
    <t>362080-0001</t>
  </si>
  <si>
    <t>363080-0001</t>
  </si>
  <si>
    <t>364080-0001</t>
  </si>
  <si>
    <t>365080-0001</t>
  </si>
  <si>
    <t>366080-0001</t>
  </si>
  <si>
    <t>367080-0001</t>
  </si>
  <si>
    <t>368080-0001</t>
  </si>
  <si>
    <t>369080-0001</t>
  </si>
  <si>
    <t>370080-0001</t>
  </si>
  <si>
    <t>371080-0001</t>
  </si>
  <si>
    <t>373080-0001</t>
  </si>
  <si>
    <t>388080-0001</t>
  </si>
  <si>
    <t>389080-0001</t>
  </si>
  <si>
    <t>390080-0001</t>
  </si>
  <si>
    <t>391080-0001</t>
  </si>
  <si>
    <t>392080-0001</t>
  </si>
  <si>
    <t>393080-0001</t>
  </si>
  <si>
    <t>394080-0001</t>
  </si>
  <si>
    <t>395080-0001</t>
  </si>
  <si>
    <t>396080-0001</t>
  </si>
  <si>
    <t>397080-0001</t>
  </si>
  <si>
    <t>398080-0001</t>
  </si>
  <si>
    <t>399080-0001</t>
  </si>
  <si>
    <t>373000-0008</t>
  </si>
  <si>
    <t>Inside City St Light</t>
  </si>
  <si>
    <t>S373</t>
  </si>
  <si>
    <t>373080-0008</t>
  </si>
  <si>
    <t>571000 - Main Of O/H Lines</t>
  </si>
  <si>
    <t>596000 - Mn St Lt + Sig Sys</t>
  </si>
  <si>
    <t>553300 - Main Comm Fiber</t>
  </si>
  <si>
    <t>904001 - Uncollectle Accts  -Elect</t>
  </si>
  <si>
    <t>Plant Asset Book Value (No CIP)</t>
  </si>
  <si>
    <t>Uncollectible Accounts</t>
  </si>
  <si>
    <t>Fuel</t>
  </si>
  <si>
    <t>Electric Expenses</t>
  </si>
  <si>
    <t>Other Power Generation</t>
  </si>
  <si>
    <t>Steam Power Generation</t>
  </si>
  <si>
    <t>Operation</t>
  </si>
  <si>
    <t>Supervision and Engineering</t>
  </si>
  <si>
    <t>Steam Expenses</t>
  </si>
  <si>
    <t>Miscellaneous Steam Power Expenses</t>
  </si>
  <si>
    <t>Supplies and Expenses</t>
  </si>
  <si>
    <t>Maintenance</t>
  </si>
  <si>
    <t>Structures</t>
  </si>
  <si>
    <t>Boiler Plant</t>
  </si>
  <si>
    <t>Electric Plant</t>
  </si>
  <si>
    <t>Miscellaneous Steam Plant</t>
  </si>
  <si>
    <t>Hydraulic Power Generation</t>
  </si>
  <si>
    <t>Hydraulic Expenses</t>
  </si>
  <si>
    <t>Miscellaneous Hydraulic Power Generation Expenses</t>
  </si>
  <si>
    <t>Reservoirs, Dams and Waterways</t>
  </si>
  <si>
    <t>Miscellaneous Hydraulic Plant</t>
  </si>
  <si>
    <t>Generation Expenses</t>
  </si>
  <si>
    <t>Miscellaneous Other Power Generation Expenses</t>
  </si>
  <si>
    <t>Generating and Electric Equipment</t>
  </si>
  <si>
    <t>Miscellaneous Other Power Generation Plant</t>
  </si>
  <si>
    <t>Other Power Supply Expenses</t>
  </si>
  <si>
    <t>Purchased Power</t>
  </si>
  <si>
    <t>System Control and Load Dispatching</t>
  </si>
  <si>
    <t>Other Expenses</t>
  </si>
  <si>
    <t>Transmission Expenses</t>
  </si>
  <si>
    <t>Load Dispatching</t>
  </si>
  <si>
    <t>Station Expenses</t>
  </si>
  <si>
    <t>Overhead Line Expenses</t>
  </si>
  <si>
    <t>Miscellaneous Transmission Expenses</t>
  </si>
  <si>
    <t>Overhead Lines</t>
  </si>
  <si>
    <t>Underground Lines</t>
  </si>
  <si>
    <t>Miscellaneous Transmission Plant</t>
  </si>
  <si>
    <t>Distribution Expenses</t>
  </si>
  <si>
    <t>Underground Line Expenses</t>
  </si>
  <si>
    <t>Street Lighting and Signal System Expenses</t>
  </si>
  <si>
    <t>Traffic Signals</t>
  </si>
  <si>
    <t>Meter Expenses</t>
  </si>
  <si>
    <t>Customer Installations Expenses</t>
  </si>
  <si>
    <t>Miscellaneous Distribution Expenses</t>
  </si>
  <si>
    <t>Street Traffic Signals</t>
  </si>
  <si>
    <t>Miscellaneous Distribution Plant</t>
  </si>
  <si>
    <t>Customer Accounts Expense</t>
  </si>
  <si>
    <t>Supervision</t>
  </si>
  <si>
    <t>Meter Reading Expenses</t>
  </si>
  <si>
    <t>Customer Records and Collection Expenses</t>
  </si>
  <si>
    <t>Miscellaneous Customer Accounts Expenses</t>
  </si>
  <si>
    <t>Customer Service and Information Expense</t>
  </si>
  <si>
    <t>Customer Assistance Expenses</t>
  </si>
  <si>
    <t>Customer Solutions Electric</t>
  </si>
  <si>
    <t>Informational and Instructional Advertising Expenses</t>
  </si>
  <si>
    <t>585000 - Strt Lt + Signl Sys</t>
  </si>
  <si>
    <t>568000 - Main Sup And Eng</t>
  </si>
  <si>
    <t>591000 - Main Structures</t>
  </si>
  <si>
    <t>548000 - Generation Exp</t>
  </si>
  <si>
    <t>Total O&amp;M</t>
  </si>
  <si>
    <t>Labor -Related O&amp;M</t>
  </si>
  <si>
    <t>Transmission O&amp;M Accounts</t>
  </si>
  <si>
    <t>Carry Forward to Allocators tabs</t>
  </si>
  <si>
    <t>P2 Line 1</t>
  </si>
  <si>
    <t>Electric Operating Expenses by Account and Classification of Salaries</t>
  </si>
  <si>
    <t>Electric System</t>
  </si>
  <si>
    <t>Monthly Peaks and Load Factors</t>
  </si>
  <si>
    <t>MW</t>
  </si>
  <si>
    <t>Net</t>
  </si>
  <si>
    <t>Monthly</t>
  </si>
  <si>
    <t>Peak</t>
  </si>
  <si>
    <t xml:space="preserve">Day </t>
  </si>
  <si>
    <t>Temperature</t>
  </si>
  <si>
    <t>System</t>
  </si>
  <si>
    <t>Load</t>
  </si>
  <si>
    <t>Calendar</t>
  </si>
  <si>
    <t xml:space="preserve">Of </t>
  </si>
  <si>
    <t xml:space="preserve">Hour </t>
  </si>
  <si>
    <t>at</t>
  </si>
  <si>
    <t>MWH</t>
  </si>
  <si>
    <t>Factor</t>
  </si>
  <si>
    <t>Date</t>
  </si>
  <si>
    <t>Week</t>
  </si>
  <si>
    <t>Ending</t>
  </si>
  <si>
    <t>Monday</t>
  </si>
  <si>
    <t>Friday</t>
  </si>
  <si>
    <t>Wednesday</t>
  </si>
  <si>
    <t>Tuesday</t>
  </si>
  <si>
    <t>Thursday</t>
  </si>
  <si>
    <t>Monthly Peaks &amp; Load Factors</t>
  </si>
  <si>
    <t>Plants Department Peaks and Loads Production Report</t>
  </si>
  <si>
    <t>MW Net Peak - Carry Forward to Load Divisor Tab - Firm Network for Self</t>
  </si>
  <si>
    <t>Electric Plant Asset Book Value (No CIP)</t>
  </si>
  <si>
    <t>Dec24-Asset Cost</t>
  </si>
  <si>
    <t>Dec24-Accum Depre</t>
  </si>
  <si>
    <t>Dec24-Book Value</t>
  </si>
  <si>
    <t>Streetlights</t>
  </si>
  <si>
    <t>360 -373</t>
  </si>
  <si>
    <t>Column Labels</t>
  </si>
  <si>
    <t>Values</t>
  </si>
  <si>
    <t>Average Balance</t>
  </si>
  <si>
    <t xml:space="preserve"> Dec24-Asset Cost</t>
  </si>
  <si>
    <t>Production 
Plant</t>
  </si>
  <si>
    <t>Distribution 
Plant</t>
  </si>
  <si>
    <t>General 
Plant</t>
  </si>
  <si>
    <t>Grand 
Total</t>
  </si>
  <si>
    <t xml:space="preserve"> Dec24-Accum Depre</t>
  </si>
  <si>
    <t>Electric Plant - Summary</t>
  </si>
  <si>
    <t>Electric Plant - Detail</t>
  </si>
  <si>
    <t>Electric Plant - 13 month Detail</t>
  </si>
  <si>
    <t>Electric Capital</t>
  </si>
  <si>
    <t>180333 - Electric Vehicles &amp; Equip</t>
  </si>
  <si>
    <t>193952 - Operational Fiber Network</t>
  </si>
  <si>
    <t>193406 - Elect Trans Infrast Corr Maint</t>
  </si>
  <si>
    <t>180286 - Elect OH Infrast Corr Maint</t>
  </si>
  <si>
    <t>193224 - Elect UG Infrast Prev Maint</t>
  </si>
  <si>
    <t>180331 - Elect UG Infrast Corr Maint</t>
  </si>
  <si>
    <t>180332 - Electric Tools &amp; Equip</t>
  </si>
  <si>
    <t>192347 - Electric Meters - Op Base Req</t>
  </si>
  <si>
    <t>796463 - AMR/AMI New Growth &amp; Replace</t>
  </si>
  <si>
    <t>193775 - Top Tier Substation Hardening</t>
  </si>
  <si>
    <t>193079 - Arc Flash Mitigation</t>
  </si>
  <si>
    <t>193225 - RIC Equipment Replacement</t>
  </si>
  <si>
    <t>193487 - Front Range ACC Gearbox</t>
  </si>
  <si>
    <t>193631 - FR ACC Blade Replacement</t>
  </si>
  <si>
    <t>192985 - Nixon 1 Plvrzr Major Cmpnt Rpl</t>
  </si>
  <si>
    <t>193189 - Nixon 1 Clng Twr Fn Blds &amp; Hub</t>
  </si>
  <si>
    <t>193252 - Nixon 1 D Gearbox</t>
  </si>
  <si>
    <t>194069 - Nixon ZD - Demister Pad Replac</t>
  </si>
  <si>
    <t>193783 - 230kV Redundant Communications</t>
  </si>
  <si>
    <t>192296 - UG 12.5kV Res Distribution</t>
  </si>
  <si>
    <t>192298 - UG 12.5kV Mainline Distrib</t>
  </si>
  <si>
    <t>180283 - Public Improvements-Electric</t>
  </si>
  <si>
    <t>192295 - OH Distribution Construction</t>
  </si>
  <si>
    <t>192297 - UG 12.5kV Comm Distribution</t>
  </si>
  <si>
    <t>180217 - Improve Sys Reliability</t>
  </si>
  <si>
    <t>182536 - Downtown Network Upgrades</t>
  </si>
  <si>
    <t>192909 - Electric T&amp;M for Capital Work</t>
  </si>
  <si>
    <t>193974 - System Adds-New Development</t>
  </si>
  <si>
    <t>193780 - Sub Trnsfrmr New: Flying Horse</t>
  </si>
  <si>
    <t>193884 - Claremont 230/34.5kV Transform</t>
  </si>
  <si>
    <t>193892 - Substation Asset Management</t>
  </si>
  <si>
    <t>194026 - Patty Jewett Substation</t>
  </si>
  <si>
    <t>194029 - Santa Fe Substation</t>
  </si>
  <si>
    <t>194033 - Fuller Subst-TF SG Feed</t>
  </si>
  <si>
    <t>194037 - Horizon Substation-34.5kV TR</t>
  </si>
  <si>
    <t>194045 - Fontanero Sub Add 2nd 115/12 5</t>
  </si>
  <si>
    <t>194050 - Spare Transformer - 230/35 kV</t>
  </si>
  <si>
    <t>Allocated Electric</t>
  </si>
  <si>
    <t>Electric Total</t>
  </si>
  <si>
    <t>Total Electric</t>
  </si>
  <si>
    <t>Project Function</t>
  </si>
  <si>
    <t>CSU Transmission</t>
  </si>
  <si>
    <t>Fountain Wheeling</t>
  </si>
  <si>
    <t>TPSM Transmission</t>
  </si>
  <si>
    <t>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</si>
  <si>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</si>
  <si>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</si>
  <si>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</si>
  <si>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</si>
  <si>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</si>
  <si>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</si>
  <si>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</si>
  <si>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</si>
  <si>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</si>
  <si>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</si>
  <si>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</si>
  <si>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</si>
  <si>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Account 456.1 Other Electric Revenues</t>
  </si>
  <si>
    <t>WORKPAPERS</t>
  </si>
  <si>
    <t>WORKPAPER 1</t>
  </si>
  <si>
    <t>WORKPAPER 2</t>
  </si>
  <si>
    <t>WORKPAPER 3</t>
  </si>
  <si>
    <t>WORKPAPER 4</t>
  </si>
  <si>
    <t>WORKPAPER 5</t>
  </si>
  <si>
    <t>WORKPAPER 6</t>
  </si>
  <si>
    <t>WORKPAPER 7</t>
  </si>
  <si>
    <t>WORKPAPER 10</t>
  </si>
  <si>
    <t>WORKPAPER 8</t>
  </si>
  <si>
    <t>Amortization of Premium or Discount (Account 428, 429)</t>
  </si>
  <si>
    <t>Fiscal Year</t>
  </si>
  <si>
    <t>Account Desc</t>
  </si>
  <si>
    <t>Sub Account</t>
  </si>
  <si>
    <t>Subacct Costtype Desc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</si>
  <si>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</si>
  <si>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</si>
  <si>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</si>
  <si>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</si>
  <si>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</si>
  <si>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</si>
  <si>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</si>
  <si>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</si>
  <si>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</si>
  <si>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Amort of Debt Disc &amp; Exp</t>
  </si>
  <si>
    <t>MISCELLANEOUS ACCOUNTING GENERAL</t>
  </si>
  <si>
    <t>Amort of Discount</t>
  </si>
  <si>
    <t>Amort of Discount  -2005A</t>
  </si>
  <si>
    <t>Amort of Discount  -2006B</t>
  </si>
  <si>
    <t>Amort of Discount  -2010D</t>
  </si>
  <si>
    <t>Amort of Loss on Reacq Debt</t>
  </si>
  <si>
    <t>2007B Amort Loss on Reac Debt</t>
  </si>
  <si>
    <t>2008B Amort Loss on Reac Debt</t>
  </si>
  <si>
    <t>2009A Amort Loss on Reac Debt</t>
  </si>
  <si>
    <t>2009C Amort Loss on Reac Debt</t>
  </si>
  <si>
    <t>2010A Amort Loss on Reac Debt</t>
  </si>
  <si>
    <t>2011A Amort Loss on Reac Debt</t>
  </si>
  <si>
    <t>2012B Amort Loss on Reac Debt</t>
  </si>
  <si>
    <t>2013A Amort Loss on Reac Debt</t>
  </si>
  <si>
    <t>2018A1 Amort Loss on Reac Debt</t>
  </si>
  <si>
    <t>2018A3 Amort Loss on Reac Debt</t>
  </si>
  <si>
    <t>Amort of Prem on Debt-Cr</t>
  </si>
  <si>
    <t>Amort of Prem on Debt-2009B</t>
  </si>
  <si>
    <t>Amort of Prem on Debt-2010D</t>
  </si>
  <si>
    <t>Amort of Prem on Debt-2015A</t>
  </si>
  <si>
    <t>Amort of Prem on Debt-2017A-1</t>
  </si>
  <si>
    <t>Amort of Prem on Debt-2017A-2</t>
  </si>
  <si>
    <t>Amort of Prem on Debt-2018A1</t>
  </si>
  <si>
    <t>Amort of Prem on Debt-2018A2</t>
  </si>
  <si>
    <t>Amort of Prem on Debt-2018A3</t>
  </si>
  <si>
    <t>Amort of Prem on Debt-2018A4</t>
  </si>
  <si>
    <t>Amort of Prem on Debt-2019A</t>
  </si>
  <si>
    <t>Amort of Prem on Debt-2020A</t>
  </si>
  <si>
    <t>Amort of Prem on Debt-2020B</t>
  </si>
  <si>
    <t>Amort of Prem on Debt-2020C</t>
  </si>
  <si>
    <t>Amort of Prem on Debt-2021A</t>
  </si>
  <si>
    <t>Amort of Prem on Debt-2021B</t>
  </si>
  <si>
    <t>Amort of Prem on Debt-2022A</t>
  </si>
  <si>
    <t>Amort of Prem on Debt-2022B</t>
  </si>
  <si>
    <t>Amort of Prem on Debt-2023A</t>
  </si>
  <si>
    <t>Amort of Prem on Debt-2023B</t>
  </si>
  <si>
    <t>Bond Issue</t>
  </si>
  <si>
    <t>Electric Percentage</t>
  </si>
  <si>
    <t>Total Principal</t>
  </si>
  <si>
    <t>Total Interest</t>
  </si>
  <si>
    <t>Electric Principal</t>
  </si>
  <si>
    <t>Electric Interest</t>
  </si>
  <si>
    <t>Total Electric Debt</t>
  </si>
  <si>
    <t>Total Electric Debt
 (in millions)</t>
  </si>
  <si>
    <t>2005A</t>
  </si>
  <si>
    <t>2006B</t>
  </si>
  <si>
    <t>2007A</t>
  </si>
  <si>
    <t>2008A</t>
  </si>
  <si>
    <t>2009B</t>
  </si>
  <si>
    <t>2009C</t>
  </si>
  <si>
    <t>2009D</t>
  </si>
  <si>
    <t>2009E</t>
  </si>
  <si>
    <t>2010C</t>
  </si>
  <si>
    <t>2010D</t>
  </si>
  <si>
    <t>2012A</t>
  </si>
  <si>
    <t>2013A</t>
  </si>
  <si>
    <t>2013B1</t>
  </si>
  <si>
    <t>2013B2</t>
  </si>
  <si>
    <t>2014A1</t>
  </si>
  <si>
    <t>2014A2</t>
  </si>
  <si>
    <t>2015A</t>
  </si>
  <si>
    <t>2017A1</t>
  </si>
  <si>
    <t>2017A2</t>
  </si>
  <si>
    <t>2017A3</t>
  </si>
  <si>
    <t>2018A1</t>
  </si>
  <si>
    <t>2018A2</t>
  </si>
  <si>
    <t>2018A3</t>
  </si>
  <si>
    <t>2018A4</t>
  </si>
  <si>
    <t>2019A</t>
  </si>
  <si>
    <t>2020A</t>
  </si>
  <si>
    <t>2020B</t>
  </si>
  <si>
    <t>2020C</t>
  </si>
  <si>
    <t>2021A</t>
  </si>
  <si>
    <t>2021B</t>
  </si>
  <si>
    <t>2022A</t>
  </si>
  <si>
    <t>2022B</t>
  </si>
  <si>
    <t>2023A</t>
  </si>
  <si>
    <t>2023B</t>
  </si>
  <si>
    <t>WORKPAPER 9</t>
  </si>
  <si>
    <t>Debt Service and Interest</t>
  </si>
  <si>
    <t>192931 - CMD Strtlght Rpl-Outside City</t>
  </si>
  <si>
    <t>194046 - Pwrs Sub Trnsfrmr Swtchgr Rplc</t>
  </si>
  <si>
    <t>194154 - Substations Power Transformer Purchases</t>
  </si>
  <si>
    <t>194082 - Front Range ACC Fan Motor Repl</t>
  </si>
  <si>
    <t>193887 - SEP Portfolio Management</t>
  </si>
  <si>
    <t>194081 - Marksheffel 115kV Trans Tower</t>
  </si>
  <si>
    <t>194132 - Wildfire Mitigation Sys Hard</t>
  </si>
  <si>
    <t>194087 - Spare Transformer - 35/12.5kV</t>
  </si>
  <si>
    <t>194107 - Briargate Substation</t>
  </si>
  <si>
    <t>Less 193952 - Operational Fiber Network</t>
  </si>
  <si>
    <t>Max KW</t>
  </si>
  <si>
    <t>Month</t>
  </si>
  <si>
    <t>Fountain Firm NITS</t>
  </si>
  <si>
    <t>Total Labor-Related Non-Fuel O&amp;M Accounts (Excl A&amp;G)</t>
  </si>
  <si>
    <t>Electric O&amp;M</t>
  </si>
  <si>
    <t>A&amp;G</t>
  </si>
  <si>
    <t>Cross Check</t>
  </si>
  <si>
    <t>Carry Forward to PD1 Gross Plant</t>
  </si>
  <si>
    <t>Carry Forward to PD2 Acc. Depreciation</t>
  </si>
  <si>
    <t>Add Allocated Electric Capital</t>
  </si>
  <si>
    <t>Carry Forward to P4 Plant Additions</t>
  </si>
  <si>
    <t>2024A</t>
  </si>
  <si>
    <t>2024B</t>
  </si>
  <si>
    <t>2012B</t>
  </si>
  <si>
    <t>2012C</t>
  </si>
  <si>
    <t>CP Series A</t>
  </si>
  <si>
    <t>CP Series B</t>
  </si>
  <si>
    <t>Bond Issuance Amortization Expense Detail</t>
  </si>
  <si>
    <t>Annual Total</t>
  </si>
  <si>
    <t>CP Series A&amp;B</t>
  </si>
  <si>
    <t>Electric %</t>
  </si>
  <si>
    <t>2000A</t>
  </si>
  <si>
    <t>2006A</t>
  </si>
  <si>
    <t>2007B</t>
  </si>
  <si>
    <t>2008B</t>
  </si>
  <si>
    <t>2009A</t>
  </si>
  <si>
    <t>2010A</t>
  </si>
  <si>
    <t>2011A</t>
  </si>
  <si>
    <t>Lookup</t>
  </si>
  <si>
    <t>ytd_balance</t>
  </si>
  <si>
    <t>Electric Alloc
%</t>
  </si>
  <si>
    <t>Electric ytd_balance</t>
  </si>
  <si>
    <t>Amort of Gain on Reacq Debt</t>
  </si>
  <si>
    <t>Amort of Prem on Debt-2024A</t>
  </si>
  <si>
    <t>Amort of Prem on Debt-2024B</t>
  </si>
  <si>
    <t>2000A Amort Gain on Reac Debt</t>
  </si>
  <si>
    <t>2020A Amort Gain on Reac Debt</t>
  </si>
  <si>
    <t>2020B Amort Gain on Reac Debt</t>
  </si>
  <si>
    <t>2021A Amort Gain on Reac Debt</t>
  </si>
  <si>
    <t>2022A Amort Gain on Reac Debt</t>
  </si>
  <si>
    <t>2023B Amort Gain on Reac Debt</t>
  </si>
  <si>
    <t>2024B Amort Gain on Reac Debt</t>
  </si>
  <si>
    <t>[ (c) * (d) ]</t>
  </si>
  <si>
    <t>Carry forward to 
WP 8 (g)(1)</t>
  </si>
  <si>
    <t>Carry forward to 
WP 8 (i)(1)</t>
  </si>
  <si>
    <t>[ (c) * (e) ]</t>
  </si>
  <si>
    <t>[ (h) * 1000 ]</t>
  </si>
  <si>
    <t>[ (f) + (g) ]</t>
  </si>
  <si>
    <t>[ (g) * (h) ]</t>
  </si>
  <si>
    <t>See WP9</t>
  </si>
  <si>
    <t>13-Month Functionalized Gross Plant Cost</t>
  </si>
  <si>
    <t>13-Month Functionalized Accumulated Depreciation Plant Cost</t>
  </si>
  <si>
    <t>WORKPAPER 11</t>
  </si>
  <si>
    <t>Misc Support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</si>
  <si>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</si>
  <si>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</si>
  <si>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</si>
  <si>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</si>
  <si>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</si>
  <si>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</si>
  <si>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</si>
  <si>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</si>
  <si>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</si>
  <si>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</si>
  <si>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</si>
  <si>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</si>
  <si>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Carry forward to P5 - Projected Load Tab</t>
  </si>
  <si>
    <t>MV90 Meter/Billing Data Fountain Load</t>
  </si>
  <si>
    <t>Electric Service</t>
  </si>
  <si>
    <t>Sources and Uses of Funds</t>
  </si>
  <si>
    <t>(In Thousands of Dollars)</t>
  </si>
  <si>
    <t>SOURCES OF FUNDS:</t>
  </si>
  <si>
    <t>Data extracted from 1200 STF - YE closeout - Final</t>
  </si>
  <si>
    <t>Debt Service Payments:</t>
  </si>
  <si>
    <t>Principal</t>
  </si>
  <si>
    <t>Interest</t>
  </si>
  <si>
    <t>Total Debt Service</t>
  </si>
  <si>
    <t>Capital Expenditures:</t>
  </si>
  <si>
    <t>Normal Additions</t>
  </si>
  <si>
    <t>Cash Funded</t>
  </si>
  <si>
    <t>Bond Funded</t>
  </si>
  <si>
    <t xml:space="preserve">Total Capital </t>
  </si>
  <si>
    <t>Franchise Fees</t>
  </si>
  <si>
    <t>Carry Forward to Table C2, Line 12</t>
  </si>
  <si>
    <t>Surplus Payments to the City</t>
  </si>
  <si>
    <t>Surplus Payments to the City and Franchise Fees</t>
  </si>
  <si>
    <t>193978 - Horizon BESS SEP</t>
  </si>
  <si>
    <t>CWIP</t>
  </si>
  <si>
    <t>Planned Capex</t>
  </si>
  <si>
    <t>2027 Transmission Formula Rate (TFR) Backup</t>
  </si>
  <si>
    <t>Carry Forward to Table T1, Line 15</t>
  </si>
  <si>
    <t>Carry Forward to Table T1, Line 39</t>
  </si>
  <si>
    <t>2025A</t>
  </si>
  <si>
    <t>2025B</t>
  </si>
  <si>
    <t>Projections for 2027</t>
  </si>
  <si>
    <t>2025B Amort Gain on Reac Debt</t>
  </si>
  <si>
    <t>Amort of Prem on Debt-2025A</t>
  </si>
  <si>
    <t>Amort of Prem on Debt-2025B</t>
  </si>
  <si>
    <r>
      <rPr>
        <i/>
        <u/>
        <sz val="9"/>
        <color theme="1"/>
        <rFont val="Calibri "/>
      </rPr>
      <t>Note</t>
    </r>
    <r>
      <rPr>
        <i/>
        <sz val="9"/>
        <color theme="1"/>
        <rFont val="Calibri "/>
      </rPr>
      <t>: Settlements is assuming no Account 456 revenue credits in 2026 from Point-to-Point transactions under SPP due to becoming all NITS transmission service</t>
    </r>
    <r>
      <rPr>
        <sz val="9"/>
        <color theme="1"/>
        <rFont val="Calibri "/>
      </rPr>
      <t>.</t>
    </r>
  </si>
  <si>
    <t>As of December 31, 2025</t>
  </si>
  <si>
    <t>Jan25-Asset Cost</t>
  </si>
  <si>
    <t>Jan25-Accum Depre</t>
  </si>
  <si>
    <t>Jan25-Book Value</t>
  </si>
  <si>
    <t>Feb25-Asset Cost</t>
  </si>
  <si>
    <t>Feb25-Accum Depre</t>
  </si>
  <si>
    <t>Feb25-Book Value</t>
  </si>
  <si>
    <t>Mar25-Asset Cost</t>
  </si>
  <si>
    <t>Mar25-Accum Depre</t>
  </si>
  <si>
    <t>Mar25-Book Value</t>
  </si>
  <si>
    <t>Apr25-Asset Cost</t>
  </si>
  <si>
    <t>Apr25-Accum Depre</t>
  </si>
  <si>
    <t>Apr25-Book Value</t>
  </si>
  <si>
    <t>May25-Asset Cost</t>
  </si>
  <si>
    <t>May25-Accum Depre</t>
  </si>
  <si>
    <t>May25-Book Value</t>
  </si>
  <si>
    <t>Jun25-Asset Cost</t>
  </si>
  <si>
    <t>Jun25-Accum Depre</t>
  </si>
  <si>
    <t>Jun25-Book Value</t>
  </si>
  <si>
    <t>Jul25-Asset Cost</t>
  </si>
  <si>
    <t>Jul25-Accum Depre</t>
  </si>
  <si>
    <t>Jul25-Book Value</t>
  </si>
  <si>
    <t>Aug25-Asset Cost</t>
  </si>
  <si>
    <t>Aug25-Accum Depre</t>
  </si>
  <si>
    <t>Aug25-Book Value</t>
  </si>
  <si>
    <t>Sep25-Asset Cost</t>
  </si>
  <si>
    <t>Sep25-Accum Depre</t>
  </si>
  <si>
    <t>Sep25-Book Value</t>
  </si>
  <si>
    <t>Oct25-Asset Cost</t>
  </si>
  <si>
    <t>Oct25-Accum Depre</t>
  </si>
  <si>
    <t>Oct25-Book Value</t>
  </si>
  <si>
    <t>Nov25-Asset Cost</t>
  </si>
  <si>
    <t>Nov25-Accum Depre</t>
  </si>
  <si>
    <t>Nov25-Book Value</t>
  </si>
  <si>
    <t>Dec25-Asset Cost</t>
  </si>
  <si>
    <t>Dec25-Accum Depre</t>
  </si>
  <si>
    <t>Dec25-Book Value</t>
  </si>
  <si>
    <t>541000 - Main Sup And Eng</t>
  </si>
  <si>
    <t>921001 - Office Sup + Exp</t>
  </si>
  <si>
    <t>FY27 Projected</t>
  </si>
  <si>
    <t>FY2027 Projected</t>
  </si>
  <si>
    <t>FY25 Actual</t>
  </si>
  <si>
    <t>FY2025 Actual</t>
  </si>
  <si>
    <t>FPR</t>
  </si>
  <si>
    <t>ACG</t>
  </si>
  <si>
    <t>T2 Line 1</t>
  </si>
  <si>
    <t>Projections for Rate Year 2027</t>
  </si>
  <si>
    <t>194190 - Network Transport Service Relocation Project</t>
  </si>
  <si>
    <t>194207 - ITOA Electric</t>
  </si>
  <si>
    <t>193407 - Front Range General Electric Long Term Service Agreement</t>
  </si>
  <si>
    <t>194197 - Front Range - GE HMI Upgrade</t>
  </si>
  <si>
    <t>194178 - Nixon Cooling Tower Transformer Replacement - Emergency</t>
  </si>
  <si>
    <t>194198 - Nixon 2&amp;3 - GE HMI Upgrade Project</t>
  </si>
  <si>
    <t>174220 - SIP - Skyway Elementary 600A Undergrounding</t>
  </si>
  <si>
    <t>194215 - Templeton Gap Levee Electric Relocation</t>
  </si>
  <si>
    <t>Production Plant - Other Production Plant (Ct)</t>
  </si>
  <si>
    <t>FY27 Aug Forecast</t>
  </si>
  <si>
    <t>Feb25 -Asset Cost</t>
  </si>
  <si>
    <t>Jan25 -Asset Cost</t>
  </si>
  <si>
    <t>Mar25 -Asset Cost</t>
  </si>
  <si>
    <t>Apr25 -Asset Cost</t>
  </si>
  <si>
    <t>May25 -Asset Cost</t>
  </si>
  <si>
    <t>Jun25 -Asset Cost</t>
  </si>
  <si>
    <t>Jul25 -Asset Cost</t>
  </si>
  <si>
    <t>Aug25 -Asset Cost</t>
  </si>
  <si>
    <t>Sep25 -Asset Cost</t>
  </si>
  <si>
    <t>Oct25 -Asset Cost</t>
  </si>
  <si>
    <t>Nov25 -Asset Cost</t>
  </si>
  <si>
    <t>Dec25 -Asset Cost</t>
  </si>
  <si>
    <t>Sum of Sep25-Accum Depre</t>
  </si>
  <si>
    <t>Dec25 -Accum Depre</t>
  </si>
  <si>
    <t>Nov25 -Accum Depre</t>
  </si>
  <si>
    <t>Oct25 -Accum Depre</t>
  </si>
  <si>
    <t>Aug25 -Accum Depre</t>
  </si>
  <si>
    <t>Jul25 -Accum Depre</t>
  </si>
  <si>
    <t>Jun25 -Accum Depre</t>
  </si>
  <si>
    <t>May25 -Accum Depre</t>
  </si>
  <si>
    <t>Apr25 -Accum Depre</t>
  </si>
  <si>
    <t>Mar25 -Accum Depre</t>
  </si>
  <si>
    <t>Feb25 -Accum Depre</t>
  </si>
  <si>
    <t>Jan25 -Accum Depre</t>
  </si>
  <si>
    <t>Data extracted from Hyperion</t>
  </si>
  <si>
    <t>Actual</t>
  </si>
  <si>
    <t>Final</t>
  </si>
  <si>
    <t>YearTotal</t>
  </si>
  <si>
    <t>Elec Alloc</t>
  </si>
  <si>
    <t>Total Activity</t>
  </si>
  <si>
    <t>5 - Non Service</t>
  </si>
  <si>
    <t>Carry Forward to Table C2, Line 13</t>
  </si>
  <si>
    <t>Peter's email for Fiber 2025 backup - Carry Forward to Table C2, Line 1.</t>
  </si>
  <si>
    <t>Transmission Planning 2027 Forecasted Projections</t>
  </si>
  <si>
    <t>CSU 2027</t>
  </si>
  <si>
    <t>Fountain 2027</t>
  </si>
  <si>
    <t>Saturday</t>
  </si>
  <si>
    <t>Sunday</t>
  </si>
  <si>
    <t>FY25</t>
  </si>
  <si>
    <t>Carry forward to T3 - Load Divisor Tab</t>
  </si>
  <si>
    <t>180449 - Substation Equipment Replace</t>
  </si>
  <si>
    <t>193577 - Front Range HVAC Unit Replacem</t>
  </si>
  <si>
    <t>194172 - Front Range ACC Transformer Replacement</t>
  </si>
  <si>
    <t>192383 - System Capacity Improvements</t>
  </si>
  <si>
    <t>194138 - Trans &amp; Dist System Hardening</t>
  </si>
  <si>
    <r>
      <t xml:space="preserve">Projected Capex/CWIP Additions </t>
    </r>
    <r>
      <rPr>
        <i/>
        <vertAlign val="superscript"/>
        <sz val="9"/>
        <color theme="1"/>
        <rFont val="Calibri"/>
        <family val="2"/>
        <scheme val="minor"/>
      </rPr>
      <t>(1)</t>
    </r>
  </si>
  <si>
    <t>Projected Capex/CWIP Additions</t>
  </si>
  <si>
    <r>
      <rPr>
        <i/>
        <u/>
        <sz val="9"/>
        <color theme="1"/>
        <rFont val="Times New Roman"/>
        <family val="1"/>
      </rPr>
      <t>Note</t>
    </r>
    <r>
      <rPr>
        <i/>
        <sz val="9"/>
        <color theme="1"/>
        <rFont val="Times New Roman"/>
        <family val="1"/>
      </rPr>
      <t xml:space="preserve">: </t>
    </r>
    <r>
      <rPr>
        <i/>
        <vertAlign val="superscript"/>
        <sz val="9"/>
        <color theme="1"/>
        <rFont val="Times New Roman"/>
        <family val="1"/>
      </rPr>
      <t xml:space="preserve">(1) </t>
    </r>
    <r>
      <rPr>
        <i/>
        <sz val="9"/>
        <color theme="1"/>
        <rFont val="Times New Roman"/>
        <family val="1"/>
      </rPr>
      <t xml:space="preserve"> Projected CapEx/CWIP are projects expected to be placed in service in 2027.</t>
    </r>
  </si>
  <si>
    <t>5611 - Load Dispatching</t>
  </si>
  <si>
    <t>5980 - Main Meters</t>
  </si>
  <si>
    <t>9300 - Gen Advertising Exp -Elec</t>
  </si>
  <si>
    <t>9301 - Misc General Exp</t>
  </si>
  <si>
    <t>5080 - Oper Sup And Exp</t>
  </si>
  <si>
    <t>5380 - Elec Exp - Internal</t>
  </si>
  <si>
    <r>
      <t xml:space="preserve">Forecasted Debt </t>
    </r>
    <r>
      <rPr>
        <i/>
        <vertAlign val="superscript"/>
        <sz val="9"/>
        <color theme="1"/>
        <rFont val="Calibri "/>
      </rPr>
      <t>(1)</t>
    </r>
  </si>
  <si>
    <r>
      <rPr>
        <i/>
        <u/>
        <sz val="9"/>
        <color theme="1"/>
        <rFont val="Calibri"/>
        <family val="2"/>
        <scheme val="minor"/>
      </rPr>
      <t>Note</t>
    </r>
    <r>
      <rPr>
        <i/>
        <sz val="9"/>
        <color theme="1"/>
        <rFont val="Calibri"/>
        <family val="2"/>
        <scheme val="minor"/>
      </rPr>
      <t>:</t>
    </r>
    <r>
      <rPr>
        <i/>
        <vertAlign val="superscript"/>
        <sz val="9"/>
        <color theme="1"/>
        <rFont val="Calibri"/>
        <family val="2"/>
        <scheme val="minor"/>
      </rPr>
      <t xml:space="preserve">(1) </t>
    </r>
    <r>
      <rPr>
        <i/>
        <sz val="9"/>
        <color theme="1"/>
        <rFont val="Calibri"/>
        <family val="2"/>
        <scheme val="minor"/>
      </rPr>
      <t xml:space="preserve"> With the month-to-month values changing and timing of the bond cycle, values for 2026 issuances are also included in the Forecasted Debt.</t>
    </r>
  </si>
  <si>
    <t>193642 - Central Bluffs Substation - Transmission</t>
  </si>
  <si>
    <t>193642 - Central Bluffs Substation - 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</si>
</sst>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&quot;-&quot;#,##0"/>
    <numFmt numFmtId="165" formatCode="_(* #,##0_);_(* \(#,##0\);_(* &quot;-&quot;??_);_(@_)"/>
    <numFmt numFmtId="166" formatCode="_(* #,##0.0000_);_(* \(#,##0.0000\);_(* &quot;-&quot;??_);_(@_)"/>
    <numFmt numFmtId="167" formatCode="h:mm;@"/>
    <numFmt numFmtId="168" formatCode="&quot;$&quot;#,##0.00"/>
    <numFmt numFmtId="169" formatCode="###0"/>
    <numFmt numFmtId="170" formatCode="General_)"/>
    <numFmt numFmtId="171" formatCode="_(&quot;$&quot;* #,##0_);_(&quot;$&quot;* \(#,##0\);_(&quot;$&quot;* &quot;-&quot;??_);_(@_)"/>
    <numFmt numFmtId="172" formatCode="_(* #,##0.0_);_(* \(#,##0.0\);_(* &quot;-&quot;??_);_(@_)"/>
    <numFmt numFmtId="174" formatCode="_(* #,##0_);_(* \(#,##0\);_(* &quot;-&quot;?_);_(@_)"/>
  </numFmts>
  <fonts count="7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sz val="8"/>
      <name val="Microsoft Sans Serif"/>
      <family val="2"/>
    </font>
    <font>
      <sz val="11"/>
      <color theme="1"/>
      <name val="Cambria"/>
      <family val="2"/>
    </font>
    <font>
      <sz val="12"/>
      <name val="Arial MT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color theme="1" tint="4.9989318521683403E-2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2F2F32"/>
      <name val="Helvetica"/>
    </font>
    <font>
      <sz val="11"/>
      <name val="Calibri"/>
      <family val="2"/>
    </font>
    <font>
      <sz val="1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name val="Times New Roman"/>
      <family val="1"/>
    </font>
    <font>
      <sz val="12"/>
      <name val="Helv"/>
    </font>
    <font>
      <b/>
      <u/>
      <sz val="9"/>
      <name val="Times New Roman"/>
      <family val="1"/>
    </font>
    <font>
      <sz val="11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vertAlign val="superscript"/>
      <sz val="9"/>
      <color theme="1"/>
      <name val="Times New Roman"/>
      <family val="1"/>
    </font>
    <font>
      <i/>
      <sz val="9"/>
      <color theme="1"/>
      <name val="Times New Roman"/>
      <family val="1"/>
    </font>
    <font>
      <i/>
      <u/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b/>
      <sz val="12"/>
      <name val="Tahoma"/>
      <family val="2"/>
    </font>
    <font>
      <b/>
      <i/>
      <sz val="10"/>
      <name val="Tahoma"/>
      <family val="2"/>
    </font>
    <font>
      <i/>
      <vertAlign val="superscript"/>
      <sz val="9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1"/>
      <color theme="1"/>
      <name val="Calbri"/>
    </font>
    <font>
      <sz val="11"/>
      <color theme="1"/>
      <name val="Calbri"/>
    </font>
    <font>
      <b/>
      <sz val="11"/>
      <name val="Calbri"/>
    </font>
    <font>
      <sz val="11"/>
      <color rgb="FFFF0000"/>
      <name val="Calbri"/>
    </font>
    <font>
      <b/>
      <sz val="11"/>
      <color theme="1"/>
      <name val="Calibri "/>
    </font>
    <font>
      <b/>
      <sz val="11"/>
      <name val="Calibri "/>
    </font>
    <font>
      <sz val="12"/>
      <name val="Calibri "/>
    </font>
    <font>
      <sz val="12"/>
      <name val="Calibri"/>
      <family val="2"/>
      <scheme val="minor"/>
    </font>
    <font>
      <sz val="11"/>
      <color theme="1"/>
      <name val="Calibri "/>
    </font>
    <font>
      <sz val="9"/>
      <color theme="1"/>
      <name val="Calibri "/>
    </font>
    <font>
      <i/>
      <u/>
      <sz val="9"/>
      <color theme="1"/>
      <name val="Calibri "/>
    </font>
    <font>
      <i/>
      <sz val="9"/>
      <color theme="1"/>
      <name val="Calibri "/>
    </font>
    <font>
      <b/>
      <sz val="12"/>
      <name val="Calibri"/>
      <family val="2"/>
      <scheme val="minor"/>
    </font>
    <font>
      <b/>
      <u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4"/>
      <color rgb="FF000000"/>
      <name val="Calibri"/>
      <family val="2"/>
      <scheme val="minor"/>
    </font>
    <font>
      <sz val="11"/>
      <name val="Calibri "/>
    </font>
    <font>
      <sz val="11"/>
      <color indexed="8"/>
      <name val="Calibri "/>
    </font>
    <font>
      <b/>
      <sz val="12"/>
      <name val="Calibri "/>
    </font>
    <font>
      <b/>
      <u/>
      <sz val="9"/>
      <name val="Calibri "/>
    </font>
    <font>
      <b/>
      <sz val="9"/>
      <color theme="1"/>
      <name val="Calibri "/>
    </font>
    <font>
      <i/>
      <vertAlign val="superscript"/>
      <sz val="9"/>
      <color theme="1"/>
      <name val="Calibri "/>
    </font>
    <font>
      <i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EB6C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BEDAFF"/>
        <bgColor indexed="64"/>
      </patternFill>
    </fill>
    <fill>
      <patternFill patternType="solid">
        <fgColor rgb="FFD6D6D6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rgb="FFC0C0C0"/>
      </right>
      <top style="thin">
        <color rgb="FFC0C0C0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/>
    <xf numFmtId="0" fontId="7" fillId="0" borderId="0"/>
    <xf numFmtId="0" fontId="8" fillId="0" borderId="0"/>
    <xf numFmtId="43" fontId="8" fillId="0" borderId="0" applyFont="0" applyFill="0" applyBorder="0" applyAlignment="0" applyProtection="0"/>
    <xf numFmtId="0" fontId="1" fillId="0" borderId="0"/>
    <xf numFmtId="168" fontId="9" fillId="0" borderId="0" applyProtection="0"/>
    <xf numFmtId="43" fontId="9" fillId="0" borderId="0" applyFont="0" applyFill="0" applyBorder="0" applyAlignment="0" applyProtection="0"/>
    <xf numFmtId="0" fontId="6" fillId="0" borderId="0"/>
    <xf numFmtId="44" fontId="1" fillId="0" borderId="0" applyFont="0" applyFill="0" applyBorder="0" applyAlignment="0" applyProtection="0"/>
    <xf numFmtId="0" fontId="6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0" fillId="0" borderId="0">
      <alignment vertical="center"/>
    </xf>
    <xf numFmtId="43" fontId="21" fillId="0" borderId="0" applyFont="0" applyFill="0" applyBorder="0" applyAlignment="0" applyProtection="0"/>
    <xf numFmtId="37" fontId="22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  <xf numFmtId="170" fontId="30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43" fillId="0" borderId="0"/>
  </cellStyleXfs>
  <cellXfs count="280">
    <xf numFmtId="0" fontId="0" fillId="0" borderId="0" xfId="0"/>
    <xf numFmtId="0" fontId="4" fillId="0" borderId="0" xfId="0" applyFont="1"/>
    <xf numFmtId="5" fontId="3" fillId="0" borderId="0" xfId="2" applyNumberFormat="1" applyFont="1" applyAlignment="1">
      <alignment horizontal="left"/>
    </xf>
    <xf numFmtId="5" fontId="4" fillId="0" borderId="0" xfId="0" applyNumberFormat="1" applyFont="1"/>
    <xf numFmtId="165" fontId="0" fillId="0" borderId="0" xfId="1" applyNumberFormat="1" applyFont="1"/>
    <xf numFmtId="9" fontId="0" fillId="0" borderId="0" xfId="0" applyNumberFormat="1"/>
    <xf numFmtId="43" fontId="0" fillId="0" borderId="0" xfId="1" applyFont="1"/>
    <xf numFmtId="10" fontId="0" fillId="0" borderId="0" xfId="0" applyNumberFormat="1"/>
    <xf numFmtId="166" fontId="0" fillId="0" borderId="0" xfId="0" applyNumberFormat="1"/>
    <xf numFmtId="43" fontId="0" fillId="0" borderId="0" xfId="0" applyNumberFormat="1"/>
    <xf numFmtId="165" fontId="0" fillId="0" borderId="0" xfId="1" applyNumberFormat="1" applyFont="1" applyBorder="1"/>
    <xf numFmtId="43" fontId="2" fillId="3" borderId="14" xfId="0" applyNumberFormat="1" applyFont="1" applyFill="1" applyBorder="1"/>
    <xf numFmtId="0" fontId="2" fillId="0" borderId="0" xfId="0" applyFont="1"/>
    <xf numFmtId="5" fontId="2" fillId="0" borderId="0" xfId="0" applyNumberFormat="1" applyFont="1"/>
    <xf numFmtId="5" fontId="10" fillId="0" borderId="0" xfId="2" applyNumberFormat="1" applyFont="1" applyAlignment="1">
      <alignment horizontal="left"/>
    </xf>
    <xf numFmtId="0" fontId="11" fillId="0" borderId="0" xfId="3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2" borderId="0" xfId="0" applyFill="1"/>
    <xf numFmtId="165" fontId="0" fillId="0" borderId="0" xfId="0" applyNumberFormat="1"/>
    <xf numFmtId="14" fontId="0" fillId="0" borderId="0" xfId="0" applyNumberFormat="1"/>
    <xf numFmtId="167" fontId="0" fillId="0" borderId="0" xfId="0" applyNumberFormat="1"/>
    <xf numFmtId="0" fontId="0" fillId="0" borderId="0" xfId="7" applyFont="1"/>
    <xf numFmtId="168" fontId="15" fillId="4" borderId="4" xfId="8" applyFont="1" applyFill="1" applyBorder="1" applyAlignment="1">
      <alignment horizontal="center" wrapText="1"/>
    </xf>
    <xf numFmtId="168" fontId="15" fillId="4" borderId="4" xfId="8" applyFont="1" applyFill="1" applyBorder="1" applyAlignment="1">
      <alignment horizontal="center"/>
    </xf>
    <xf numFmtId="43" fontId="15" fillId="4" borderId="4" xfId="9" applyFont="1" applyFill="1" applyBorder="1" applyAlignment="1">
      <alignment horizontal="center"/>
    </xf>
    <xf numFmtId="0" fontId="16" fillId="0" borderId="0" xfId="10" applyFont="1" applyAlignment="1">
      <alignment horizontal="center"/>
    </xf>
    <xf numFmtId="168" fontId="16" fillId="0" borderId="0" xfId="8" applyFont="1" applyAlignment="1">
      <alignment vertical="top"/>
    </xf>
    <xf numFmtId="43" fontId="16" fillId="0" borderId="0" xfId="9" applyFont="1" applyBorder="1" applyAlignment="1">
      <alignment vertical="top"/>
    </xf>
    <xf numFmtId="43" fontId="16" fillId="0" borderId="0" xfId="9" applyFont="1"/>
    <xf numFmtId="0" fontId="0" fillId="0" borderId="0" xfId="0" pivotButton="1"/>
    <xf numFmtId="0" fontId="0" fillId="0" borderId="0" xfId="0" applyAlignment="1">
      <alignment horizontal="left"/>
    </xf>
    <xf numFmtId="43" fontId="0" fillId="0" borderId="15" xfId="1" applyFont="1" applyBorder="1"/>
    <xf numFmtId="43" fontId="16" fillId="0" borderId="0" xfId="9" applyFont="1" applyBorder="1"/>
    <xf numFmtId="0" fontId="16" fillId="0" borderId="17" xfId="10" applyFont="1" applyBorder="1" applyAlignment="1">
      <alignment horizontal="center"/>
    </xf>
    <xf numFmtId="168" fontId="16" fillId="0" borderId="17" xfId="8" applyFont="1" applyBorder="1" applyAlignment="1">
      <alignment vertical="top"/>
    </xf>
    <xf numFmtId="43" fontId="16" fillId="0" borderId="17" xfId="9" applyFont="1" applyBorder="1" applyAlignment="1">
      <alignment vertical="top"/>
    </xf>
    <xf numFmtId="43" fontId="0" fillId="0" borderId="0" xfId="7" applyNumberFormat="1" applyFont="1"/>
    <xf numFmtId="0" fontId="0" fillId="5" borderId="5" xfId="0" applyFill="1" applyBorder="1"/>
    <xf numFmtId="165" fontId="0" fillId="5" borderId="6" xfId="1" applyNumberFormat="1" applyFont="1" applyFill="1" applyBorder="1"/>
    <xf numFmtId="0" fontId="0" fillId="5" borderId="7" xfId="0" applyFill="1" applyBorder="1"/>
    <xf numFmtId="165" fontId="0" fillId="5" borderId="8" xfId="1" applyNumberFormat="1" applyFont="1" applyFill="1" applyBorder="1"/>
    <xf numFmtId="0" fontId="0" fillId="5" borderId="9" xfId="0" applyFill="1" applyBorder="1"/>
    <xf numFmtId="165" fontId="0" fillId="5" borderId="10" xfId="1" applyNumberFormat="1" applyFont="1" applyFill="1" applyBorder="1"/>
    <xf numFmtId="0" fontId="0" fillId="0" borderId="0" xfId="0" applyAlignment="1">
      <alignment wrapText="1"/>
    </xf>
    <xf numFmtId="164" fontId="13" fillId="0" borderId="0" xfId="0" applyNumberFormat="1" applyFont="1" applyAlignment="1">
      <alignment horizontal="left"/>
    </xf>
    <xf numFmtId="164" fontId="14" fillId="0" borderId="0" xfId="0" quotePrefix="1" applyNumberFormat="1" applyFont="1" applyAlignment="1">
      <alignment horizontal="left"/>
    </xf>
    <xf numFmtId="164" fontId="14" fillId="0" borderId="0" xfId="0" quotePrefix="1" applyNumberFormat="1" applyFont="1" applyAlignment="1">
      <alignment horizontal="right"/>
    </xf>
    <xf numFmtId="165" fontId="0" fillId="0" borderId="0" xfId="1" applyNumberFormat="1" applyFont="1" applyFill="1"/>
    <xf numFmtId="164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left" vertical="top" wrapText="1"/>
    </xf>
    <xf numFmtId="0" fontId="0" fillId="0" borderId="0" xfId="0" applyAlignment="1">
      <alignment horizontal="center" wrapText="1"/>
    </xf>
    <xf numFmtId="164" fontId="14" fillId="0" borderId="1" xfId="0" quotePrefix="1" applyNumberFormat="1" applyFont="1" applyBorder="1" applyAlignment="1">
      <alignment horizontal="left"/>
    </xf>
    <xf numFmtId="165" fontId="0" fillId="5" borderId="0" xfId="1" applyNumberFormat="1" applyFont="1" applyFill="1" applyBorder="1"/>
    <xf numFmtId="165" fontId="0" fillId="5" borderId="18" xfId="1" applyNumberFormat="1" applyFont="1" applyFill="1" applyBorder="1"/>
    <xf numFmtId="165" fontId="0" fillId="5" borderId="19" xfId="1" applyNumberFormat="1" applyFont="1" applyFill="1" applyBorder="1"/>
    <xf numFmtId="0" fontId="23" fillId="0" borderId="0" xfId="0" applyFont="1"/>
    <xf numFmtId="0" fontId="25" fillId="0" borderId="0" xfId="0" applyFont="1"/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7" fillId="6" borderId="2" xfId="0" applyFont="1" applyFill="1" applyBorder="1" applyAlignment="1">
      <alignment horizontal="center"/>
    </xf>
    <xf numFmtId="0" fontId="23" fillId="6" borderId="3" xfId="0" applyFont="1" applyFill="1" applyBorder="1" applyAlignment="1">
      <alignment horizontal="right"/>
    </xf>
    <xf numFmtId="165" fontId="0" fillId="0" borderId="0" xfId="11" applyNumberFormat="1" applyFont="1"/>
    <xf numFmtId="43" fontId="4" fillId="0" borderId="0" xfId="1" applyFont="1"/>
    <xf numFmtId="0" fontId="2" fillId="3" borderId="24" xfId="0" applyFont="1" applyFill="1" applyBorder="1"/>
    <xf numFmtId="43" fontId="2" fillId="3" borderId="24" xfId="1" applyFont="1" applyFill="1" applyBorder="1"/>
    <xf numFmtId="0" fontId="0" fillId="7" borderId="0" xfId="0" applyFill="1"/>
    <xf numFmtId="0" fontId="2" fillId="3" borderId="14" xfId="0" applyFont="1" applyFill="1" applyBorder="1" applyAlignment="1">
      <alignment horizontal="left"/>
    </xf>
    <xf numFmtId="43" fontId="2" fillId="3" borderId="14" xfId="1" applyFont="1" applyFill="1" applyBorder="1" applyAlignment="1">
      <alignment horizontal="left"/>
    </xf>
    <xf numFmtId="43" fontId="2" fillId="3" borderId="14" xfId="0" applyNumberFormat="1" applyFont="1" applyFill="1" applyBorder="1" applyAlignment="1">
      <alignment horizontal="left"/>
    </xf>
    <xf numFmtId="43" fontId="0" fillId="0" borderId="15" xfId="0" applyNumberFormat="1" applyBorder="1"/>
    <xf numFmtId="165" fontId="0" fillId="0" borderId="15" xfId="0" applyNumberFormat="1" applyBorder="1"/>
    <xf numFmtId="0" fontId="2" fillId="3" borderId="13" xfId="0" applyFont="1" applyFill="1" applyBorder="1" applyAlignment="1">
      <alignment horizontal="center"/>
    </xf>
    <xf numFmtId="0" fontId="0" fillId="0" borderId="0" xfId="0" pivotButton="1" applyAlignment="1">
      <alignment wrapText="1"/>
    </xf>
    <xf numFmtId="5" fontId="10" fillId="0" borderId="0" xfId="0" applyNumberFormat="1" applyFont="1" applyAlignment="1">
      <alignment wrapText="1"/>
    </xf>
    <xf numFmtId="170" fontId="29" fillId="0" borderId="0" xfId="22" applyFont="1"/>
    <xf numFmtId="41" fontId="31" fillId="0" borderId="0" xfId="8" quotePrefix="1" applyNumberFormat="1" applyFont="1" applyAlignment="1">
      <alignment horizontal="center" wrapText="1"/>
    </xf>
    <xf numFmtId="0" fontId="32" fillId="0" borderId="0" xfId="23" applyFont="1"/>
    <xf numFmtId="10" fontId="32" fillId="0" borderId="0" xfId="23" applyNumberFormat="1" applyFont="1" applyAlignment="1">
      <alignment horizontal="center"/>
    </xf>
    <xf numFmtId="44" fontId="32" fillId="0" borderId="0" xfId="23" applyNumberFormat="1" applyFont="1"/>
    <xf numFmtId="0" fontId="32" fillId="0" borderId="0" xfId="25" applyFont="1" applyAlignment="1">
      <alignment horizontal="center"/>
    </xf>
    <xf numFmtId="0" fontId="32" fillId="0" borderId="0" xfId="23" applyFont="1" applyAlignment="1">
      <alignment wrapText="1"/>
    </xf>
    <xf numFmtId="0" fontId="0" fillId="0" borderId="5" xfId="0" applyBorder="1"/>
    <xf numFmtId="165" fontId="0" fillId="0" borderId="18" xfId="1" applyNumberFormat="1" applyFont="1" applyFill="1" applyBorder="1"/>
    <xf numFmtId="165" fontId="0" fillId="0" borderId="6" xfId="1" applyNumberFormat="1" applyFont="1" applyFill="1" applyBorder="1"/>
    <xf numFmtId="0" fontId="0" fillId="0" borderId="7" xfId="0" applyBorder="1"/>
    <xf numFmtId="165" fontId="0" fillId="0" borderId="0" xfId="1" applyNumberFormat="1" applyFont="1" applyFill="1" applyBorder="1"/>
    <xf numFmtId="165" fontId="0" fillId="0" borderId="8" xfId="1" applyNumberFormat="1" applyFont="1" applyFill="1" applyBorder="1"/>
    <xf numFmtId="0" fontId="0" fillId="0" borderId="9" xfId="0" applyBorder="1"/>
    <xf numFmtId="165" fontId="0" fillId="0" borderId="19" xfId="1" applyNumberFormat="1" applyFont="1" applyFill="1" applyBorder="1"/>
    <xf numFmtId="165" fontId="0" fillId="0" borderId="10" xfId="1" applyNumberFormat="1" applyFont="1" applyFill="1" applyBorder="1"/>
    <xf numFmtId="42" fontId="0" fillId="2" borderId="0" xfId="0" applyNumberFormat="1" applyFill="1"/>
    <xf numFmtId="165" fontId="0" fillId="2" borderId="0" xfId="0" applyNumberFormat="1" applyFill="1"/>
    <xf numFmtId="0" fontId="32" fillId="0" borderId="0" xfId="0" applyFont="1"/>
    <xf numFmtId="171" fontId="32" fillId="0" borderId="0" xfId="23" applyNumberFormat="1" applyFont="1"/>
    <xf numFmtId="0" fontId="32" fillId="0" borderId="0" xfId="23" applyFont="1" applyAlignment="1">
      <alignment horizontal="center"/>
    </xf>
    <xf numFmtId="0" fontId="38" fillId="0" borderId="0" xfId="0" applyFont="1"/>
    <xf numFmtId="165" fontId="0" fillId="0" borderId="29" xfId="20" applyNumberFormat="1" applyFont="1" applyFill="1" applyBorder="1"/>
    <xf numFmtId="0" fontId="0" fillId="0" borderId="22" xfId="0" applyBorder="1"/>
    <xf numFmtId="0" fontId="0" fillId="0" borderId="17" xfId="0" applyBorder="1"/>
    <xf numFmtId="0" fontId="0" fillId="0" borderId="23" xfId="0" applyBorder="1"/>
    <xf numFmtId="165" fontId="0" fillId="0" borderId="0" xfId="20" applyNumberFormat="1" applyFont="1" applyFill="1" applyBorder="1"/>
    <xf numFmtId="165" fontId="6" fillId="0" borderId="0" xfId="20" applyNumberFormat="1" applyFont="1" applyFill="1" applyBorder="1"/>
    <xf numFmtId="0" fontId="0" fillId="0" borderId="25" xfId="0" applyBorder="1"/>
    <xf numFmtId="2" fontId="6" fillId="0" borderId="25" xfId="0" quotePrefix="1" applyNumberFormat="1" applyFont="1" applyBorder="1" applyAlignment="1">
      <alignment horizontal="left"/>
    </xf>
    <xf numFmtId="2" fontId="0" fillId="0" borderId="25" xfId="0" applyNumberFormat="1" applyBorder="1"/>
    <xf numFmtId="2" fontId="0" fillId="0" borderId="0" xfId="0" applyNumberFormat="1"/>
    <xf numFmtId="2" fontId="6" fillId="0" borderId="25" xfId="0" applyNumberFormat="1" applyFont="1" applyBorder="1"/>
    <xf numFmtId="2" fontId="0" fillId="0" borderId="25" xfId="0" applyNumberFormat="1" applyBorder="1" applyAlignment="1">
      <alignment horizontal="left" indent="1"/>
    </xf>
    <xf numFmtId="2" fontId="6" fillId="0" borderId="25" xfId="0" applyNumberFormat="1" applyFont="1" applyBorder="1" applyAlignment="1">
      <alignment horizontal="left" indent="1"/>
    </xf>
    <xf numFmtId="2" fontId="0" fillId="0" borderId="25" xfId="0" quotePrefix="1" applyNumberFormat="1" applyBorder="1" applyAlignment="1">
      <alignment horizontal="left"/>
    </xf>
    <xf numFmtId="2" fontId="0" fillId="0" borderId="26" xfId="0" quotePrefix="1" applyNumberFormat="1" applyBorder="1" applyAlignment="1">
      <alignment horizontal="left"/>
    </xf>
    <xf numFmtId="0" fontId="2" fillId="0" borderId="0" xfId="0" applyFont="1" applyAlignment="1">
      <alignment horizontal="center" wrapText="1"/>
    </xf>
    <xf numFmtId="0" fontId="44" fillId="0" borderId="0" xfId="0" applyFont="1"/>
    <xf numFmtId="5" fontId="44" fillId="0" borderId="0" xfId="0" applyNumberFormat="1" applyFont="1"/>
    <xf numFmtId="0" fontId="42" fillId="0" borderId="0" xfId="0" applyFont="1"/>
    <xf numFmtId="5" fontId="45" fillId="0" borderId="0" xfId="2" applyNumberFormat="1" applyFont="1" applyAlignment="1">
      <alignment horizontal="left"/>
    </xf>
    <xf numFmtId="0" fontId="46" fillId="0" borderId="0" xfId="0" applyFont="1"/>
    <xf numFmtId="0" fontId="47" fillId="0" borderId="0" xfId="7" applyFont="1"/>
    <xf numFmtId="5" fontId="46" fillId="0" borderId="0" xfId="0" applyNumberFormat="1" applyFont="1"/>
    <xf numFmtId="0" fontId="47" fillId="0" borderId="0" xfId="5" applyFont="1"/>
    <xf numFmtId="5" fontId="48" fillId="0" borderId="0" xfId="2" applyNumberFormat="1" applyFont="1" applyAlignment="1">
      <alignment horizontal="left"/>
    </xf>
    <xf numFmtId="0" fontId="49" fillId="0" borderId="0" xfId="7" applyFont="1"/>
    <xf numFmtId="0" fontId="50" fillId="0" borderId="0" xfId="0" applyFont="1"/>
    <xf numFmtId="5" fontId="50" fillId="0" borderId="0" xfId="0" applyNumberFormat="1" applyFont="1"/>
    <xf numFmtId="5" fontId="51" fillId="0" borderId="0" xfId="2" applyNumberFormat="1" applyFont="1" applyAlignment="1">
      <alignment horizontal="left"/>
    </xf>
    <xf numFmtId="43" fontId="52" fillId="0" borderId="0" xfId="22" applyNumberFormat="1" applyFont="1"/>
    <xf numFmtId="170" fontId="52" fillId="0" borderId="0" xfId="22" applyFont="1"/>
    <xf numFmtId="0" fontId="52" fillId="0" borderId="0" xfId="21" applyFont="1"/>
    <xf numFmtId="0" fontId="53" fillId="0" borderId="0" xfId="21" applyFont="1" applyProtection="1">
      <protection locked="0"/>
    </xf>
    <xf numFmtId="0" fontId="53" fillId="0" borderId="0" xfId="21" applyFont="1"/>
    <xf numFmtId="0" fontId="54" fillId="0" borderId="0" xfId="0" applyFont="1"/>
    <xf numFmtId="0" fontId="50" fillId="0" borderId="0" xfId="0" applyFont="1" applyAlignment="1">
      <alignment horizontal="center"/>
    </xf>
    <xf numFmtId="44" fontId="50" fillId="0" borderId="25" xfId="0" applyNumberFormat="1" applyFont="1" applyBorder="1"/>
    <xf numFmtId="44" fontId="50" fillId="0" borderId="26" xfId="0" applyNumberFormat="1" applyFont="1" applyBorder="1"/>
    <xf numFmtId="44" fontId="50" fillId="0" borderId="0" xfId="0" applyNumberFormat="1" applyFont="1"/>
    <xf numFmtId="0" fontId="18" fillId="0" borderId="0" xfId="0" applyFont="1"/>
    <xf numFmtId="168" fontId="58" fillId="0" borderId="19" xfId="8" applyFont="1" applyBorder="1" applyAlignment="1">
      <alignment horizontal="center" wrapText="1"/>
    </xf>
    <xf numFmtId="0" fontId="2" fillId="0" borderId="0" xfId="23" applyFont="1" applyAlignment="1">
      <alignment horizontal="center"/>
    </xf>
    <xf numFmtId="41" fontId="59" fillId="0" borderId="0" xfId="8" quotePrefix="1" applyNumberFormat="1" applyFont="1" applyAlignment="1">
      <alignment horizontal="center" wrapText="1"/>
    </xf>
    <xf numFmtId="0" fontId="0" fillId="0" borderId="0" xfId="23" applyFont="1"/>
    <xf numFmtId="0" fontId="60" fillId="0" borderId="0" xfId="0" applyFont="1" applyAlignment="1">
      <alignment horizontal="center"/>
    </xf>
    <xf numFmtId="0" fontId="0" fillId="0" borderId="0" xfId="24" applyFont="1" applyAlignment="1">
      <alignment horizontal="center"/>
    </xf>
    <xf numFmtId="44" fontId="0" fillId="0" borderId="0" xfId="11" applyFont="1" applyFill="1"/>
    <xf numFmtId="10" fontId="0" fillId="0" borderId="0" xfId="23" applyNumberFormat="1" applyFont="1"/>
    <xf numFmtId="44" fontId="0" fillId="0" borderId="0" xfId="0" applyNumberFormat="1"/>
    <xf numFmtId="43" fontId="0" fillId="0" borderId="0" xfId="11" applyNumberFormat="1" applyFont="1" applyFill="1"/>
    <xf numFmtId="44" fontId="0" fillId="0" borderId="27" xfId="11" applyFont="1" applyFill="1" applyBorder="1"/>
    <xf numFmtId="44" fontId="0" fillId="0" borderId="27" xfId="11" applyFont="1" applyBorder="1"/>
    <xf numFmtId="43" fontId="53" fillId="0" borderId="0" xfId="1" applyFont="1" applyProtection="1">
      <protection locked="0"/>
    </xf>
    <xf numFmtId="0" fontId="58" fillId="0" borderId="19" xfId="21" applyFont="1" applyBorder="1" applyAlignment="1">
      <alignment horizontal="center" wrapText="1"/>
    </xf>
    <xf numFmtId="0" fontId="58" fillId="0" borderId="0" xfId="21" applyFont="1" applyAlignment="1" applyProtection="1">
      <alignment horizontal="center" wrapText="1"/>
      <protection locked="0"/>
    </xf>
    <xf numFmtId="0" fontId="58" fillId="0" borderId="19" xfId="21" applyFont="1" applyBorder="1" applyAlignment="1" applyProtection="1">
      <alignment horizontal="center" wrapText="1"/>
      <protection locked="0"/>
    </xf>
    <xf numFmtId="0" fontId="58" fillId="0" borderId="0" xfId="21" applyFont="1" applyAlignment="1">
      <alignment horizontal="center" wrapText="1"/>
    </xf>
    <xf numFmtId="43" fontId="58" fillId="0" borderId="19" xfId="1" applyFont="1" applyBorder="1" applyAlignment="1" applyProtection="1">
      <alignment horizontal="center" wrapText="1"/>
      <protection locked="0"/>
    </xf>
    <xf numFmtId="0" fontId="16" fillId="0" borderId="17" xfId="3" applyFont="1" applyBorder="1" applyAlignment="1">
      <alignment horizontal="center" vertical="center"/>
    </xf>
    <xf numFmtId="10" fontId="0" fillId="0" borderId="17" xfId="26" applyNumberFormat="1" applyFont="1" applyBorder="1" applyAlignment="1">
      <alignment horizontal="center" vertical="center"/>
    </xf>
    <xf numFmtId="0" fontId="10" fillId="0" borderId="0" xfId="21" applyFont="1" applyAlignment="1">
      <alignment horizontal="center" wrapText="1"/>
    </xf>
    <xf numFmtId="0" fontId="10" fillId="0" borderId="0" xfId="21" applyFont="1" applyAlignment="1" applyProtection="1">
      <alignment horizontal="center" wrapText="1"/>
      <protection locked="0"/>
    </xf>
    <xf numFmtId="43" fontId="10" fillId="0" borderId="0" xfId="1" applyFont="1" applyAlignment="1">
      <alignment horizontal="center" wrapText="1"/>
    </xf>
    <xf numFmtId="0" fontId="16" fillId="0" borderId="0" xfId="3" applyFont="1" applyAlignment="1">
      <alignment vertical="center"/>
    </xf>
    <xf numFmtId="10" fontId="0" fillId="0" borderId="0" xfId="26" applyNumberFormat="1" applyFont="1" applyAlignment="1">
      <alignment vertical="center"/>
    </xf>
    <xf numFmtId="43" fontId="58" fillId="0" borderId="0" xfId="1" applyFont="1" applyAlignment="1" applyProtection="1">
      <alignment horizontal="center" wrapText="1"/>
      <protection locked="0"/>
    </xf>
    <xf numFmtId="0" fontId="11" fillId="0" borderId="0" xfId="21" applyFont="1" applyAlignment="1">
      <alignment horizontal="center"/>
    </xf>
    <xf numFmtId="0" fontId="11" fillId="0" borderId="0" xfId="21" applyFont="1" applyProtection="1">
      <protection locked="0"/>
    </xf>
    <xf numFmtId="0" fontId="11" fillId="0" borderId="0" xfId="21" applyFont="1" applyAlignment="1" applyProtection="1">
      <alignment horizontal="left"/>
      <protection locked="0"/>
    </xf>
    <xf numFmtId="169" fontId="11" fillId="0" borderId="0" xfId="21" applyNumberFormat="1" applyFont="1" applyProtection="1">
      <protection locked="0"/>
    </xf>
    <xf numFmtId="0" fontId="11" fillId="0" borderId="0" xfId="21" applyFont="1"/>
    <xf numFmtId="43" fontId="11" fillId="0" borderId="0" xfId="1" applyFont="1" applyFill="1" applyProtection="1">
      <protection locked="0"/>
    </xf>
    <xf numFmtId="4" fontId="11" fillId="0" borderId="0" xfId="21" applyNumberFormat="1" applyFont="1" applyAlignment="1" applyProtection="1">
      <alignment horizontal="center"/>
      <protection locked="0"/>
    </xf>
    <xf numFmtId="10" fontId="11" fillId="0" borderId="0" xfId="21" applyNumberFormat="1" applyFont="1" applyProtection="1">
      <protection locked="0"/>
    </xf>
    <xf numFmtId="4" fontId="11" fillId="0" borderId="0" xfId="21" applyNumberFormat="1" applyFont="1" applyProtection="1">
      <protection locked="0"/>
    </xf>
    <xf numFmtId="43" fontId="11" fillId="0" borderId="0" xfId="1" applyFont="1" applyProtection="1">
      <protection locked="0"/>
    </xf>
    <xf numFmtId="0" fontId="11" fillId="0" borderId="0" xfId="21" applyFont="1" applyAlignment="1" applyProtection="1">
      <alignment horizontal="right"/>
      <protection locked="0"/>
    </xf>
    <xf numFmtId="10" fontId="53" fillId="0" borderId="0" xfId="21" applyNumberFormat="1" applyFont="1"/>
    <xf numFmtId="164" fontId="0" fillId="2" borderId="0" xfId="0" applyNumberFormat="1" applyFill="1"/>
    <xf numFmtId="165" fontId="32" fillId="0" borderId="0" xfId="1" applyNumberFormat="1" applyFont="1"/>
    <xf numFmtId="43" fontId="32" fillId="0" borderId="0" xfId="1" applyFont="1"/>
    <xf numFmtId="171" fontId="32" fillId="0" borderId="0" xfId="1" applyNumberFormat="1" applyFont="1"/>
    <xf numFmtId="44" fontId="54" fillId="0" borderId="0" xfId="0" applyNumberFormat="1" applyFont="1"/>
    <xf numFmtId="44" fontId="54" fillId="0" borderId="17" xfId="0" applyNumberFormat="1" applyFont="1" applyBorder="1"/>
    <xf numFmtId="0" fontId="38" fillId="0" borderId="30" xfId="0" applyFont="1" applyBorder="1"/>
    <xf numFmtId="0" fontId="39" fillId="0" borderId="20" xfId="0" applyFont="1" applyBorder="1" applyAlignment="1">
      <alignment horizontal="center"/>
    </xf>
    <xf numFmtId="0" fontId="39" fillId="0" borderId="21" xfId="0" applyFont="1" applyBorder="1" applyAlignment="1">
      <alignment horizontal="center"/>
    </xf>
    <xf numFmtId="0" fontId="0" fillId="9" borderId="31" xfId="0" applyFill="1" applyBorder="1" applyProtection="1">
      <protection locked="0"/>
    </xf>
    <xf numFmtId="0" fontId="0" fillId="9" borderId="32" xfId="0" applyFill="1" applyBorder="1" applyProtection="1">
      <protection locked="0"/>
    </xf>
    <xf numFmtId="49" fontId="0" fillId="9" borderId="32" xfId="0" applyNumberFormat="1" applyFill="1" applyBorder="1" applyProtection="1">
      <protection locked="0"/>
    </xf>
    <xf numFmtId="0" fontId="0" fillId="0" borderId="32" xfId="0" applyBorder="1" applyProtection="1">
      <protection locked="0"/>
    </xf>
    <xf numFmtId="49" fontId="0" fillId="9" borderId="33" xfId="0" applyNumberFormat="1" applyFill="1" applyBorder="1" applyProtection="1">
      <protection locked="0"/>
    </xf>
    <xf numFmtId="49" fontId="0" fillId="9" borderId="34" xfId="0" applyNumberFormat="1" applyFill="1" applyBorder="1" applyProtection="1">
      <protection locked="0"/>
    </xf>
    <xf numFmtId="3" fontId="0" fillId="10" borderId="34" xfId="0" applyNumberFormat="1" applyFill="1" applyBorder="1" applyProtection="1">
      <protection locked="0"/>
    </xf>
    <xf numFmtId="43" fontId="0" fillId="0" borderId="34" xfId="0" applyNumberFormat="1" applyBorder="1" applyProtection="1">
      <protection locked="0"/>
    </xf>
    <xf numFmtId="43" fontId="0" fillId="0" borderId="0" xfId="1" applyFont="1" applyFill="1"/>
    <xf numFmtId="3" fontId="23" fillId="0" borderId="0" xfId="0" applyNumberFormat="1" applyFont="1"/>
    <xf numFmtId="3" fontId="23" fillId="0" borderId="17" xfId="0" applyNumberFormat="1" applyFont="1" applyBorder="1"/>
    <xf numFmtId="10" fontId="23" fillId="0" borderId="0" xfId="0" applyNumberFormat="1" applyFont="1"/>
    <xf numFmtId="14" fontId="23" fillId="0" borderId="0" xfId="0" applyNumberFormat="1" applyFont="1"/>
    <xf numFmtId="10" fontId="23" fillId="0" borderId="17" xfId="0" applyNumberFormat="1" applyFont="1" applyBorder="1"/>
    <xf numFmtId="14" fontId="23" fillId="0" borderId="17" xfId="0" applyNumberFormat="1" applyFont="1" applyBorder="1"/>
    <xf numFmtId="0" fontId="23" fillId="0" borderId="17" xfId="0" applyFont="1" applyBorder="1"/>
    <xf numFmtId="0" fontId="23" fillId="0" borderId="3" xfId="0" applyFont="1" applyBorder="1"/>
    <xf numFmtId="165" fontId="23" fillId="0" borderId="3" xfId="1" applyNumberFormat="1" applyFont="1" applyFill="1" applyBorder="1"/>
    <xf numFmtId="0" fontId="23" fillId="0" borderId="4" xfId="0" applyFont="1" applyBorder="1"/>
    <xf numFmtId="165" fontId="23" fillId="0" borderId="4" xfId="1" applyNumberFormat="1" applyFont="1" applyFill="1" applyBorder="1"/>
    <xf numFmtId="1" fontId="23" fillId="0" borderId="22" xfId="0" applyNumberFormat="1" applyFont="1" applyBorder="1"/>
    <xf numFmtId="1" fontId="23" fillId="0" borderId="23" xfId="0" applyNumberFormat="1" applyFont="1" applyBorder="1"/>
    <xf numFmtId="0" fontId="36" fillId="0" borderId="0" xfId="23" applyFont="1"/>
    <xf numFmtId="0" fontId="2" fillId="0" borderId="28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2" borderId="0" xfId="0" applyFont="1" applyFill="1"/>
    <xf numFmtId="0" fontId="62" fillId="0" borderId="0" xfId="12" applyFont="1"/>
    <xf numFmtId="0" fontId="51" fillId="0" borderId="0" xfId="12" applyFont="1"/>
    <xf numFmtId="0" fontId="54" fillId="2" borderId="0" xfId="0" applyFont="1" applyFill="1"/>
    <xf numFmtId="0" fontId="51" fillId="0" borderId="0" xfId="12" applyFont="1" applyAlignment="1">
      <alignment horizontal="left" indent="1"/>
    </xf>
    <xf numFmtId="42" fontId="63" fillId="0" borderId="0" xfId="19" applyNumberFormat="1" applyFont="1" applyFill="1" applyAlignment="1" applyProtection="1">
      <alignment horizontal="right"/>
    </xf>
    <xf numFmtId="41" fontId="62" fillId="0" borderId="0" xfId="20" applyNumberFormat="1" applyFont="1" applyFill="1" applyAlignment="1">
      <alignment horizontal="right"/>
    </xf>
    <xf numFmtId="41" fontId="62" fillId="0" borderId="17" xfId="20" applyNumberFormat="1" applyFont="1" applyFill="1" applyBorder="1" applyAlignment="1">
      <alignment horizontal="right"/>
    </xf>
    <xf numFmtId="42" fontId="51" fillId="0" borderId="15" xfId="19" applyNumberFormat="1" applyFont="1" applyFill="1" applyBorder="1" applyAlignment="1">
      <alignment horizontal="right"/>
    </xf>
    <xf numFmtId="49" fontId="62" fillId="0" borderId="0" xfId="18" applyNumberFormat="1" applyFont="1" applyAlignment="1">
      <alignment horizontal="right"/>
    </xf>
    <xf numFmtId="49" fontId="62" fillId="0" borderId="0" xfId="18" applyNumberFormat="1" applyFont="1" applyAlignment="1">
      <alignment horizontal="center"/>
    </xf>
    <xf numFmtId="0" fontId="62" fillId="0" borderId="0" xfId="18" applyNumberFormat="1" applyFont="1" applyAlignment="1">
      <alignment horizontal="left" indent="2"/>
    </xf>
    <xf numFmtId="168" fontId="64" fillId="0" borderId="19" xfId="8" applyFont="1" applyBorder="1" applyAlignment="1">
      <alignment horizontal="center" wrapText="1"/>
    </xf>
    <xf numFmtId="0" fontId="50" fillId="0" borderId="0" xfId="23" applyFont="1" applyAlignment="1">
      <alignment horizontal="center"/>
    </xf>
    <xf numFmtId="0" fontId="54" fillId="0" borderId="0" xfId="23" applyFont="1" applyAlignment="1">
      <alignment horizontal="center"/>
    </xf>
    <xf numFmtId="0" fontId="1" fillId="0" borderId="0" xfId="23"/>
    <xf numFmtId="41" fontId="65" fillId="0" borderId="0" xfId="8" quotePrefix="1" applyNumberFormat="1" applyFont="1" applyAlignment="1">
      <alignment horizontal="center" wrapText="1"/>
    </xf>
    <xf numFmtId="0" fontId="54" fillId="0" borderId="0" xfId="23" applyFont="1"/>
    <xf numFmtId="0" fontId="66" fillId="0" borderId="0" xfId="0" applyFont="1" applyAlignment="1">
      <alignment horizontal="center"/>
    </xf>
    <xf numFmtId="0" fontId="54" fillId="0" borderId="0" xfId="24" applyFont="1" applyAlignment="1">
      <alignment horizontal="center"/>
    </xf>
    <xf numFmtId="10" fontId="54" fillId="0" borderId="0" xfId="23" applyNumberFormat="1" applyFont="1" applyAlignment="1">
      <alignment horizontal="center"/>
    </xf>
    <xf numFmtId="171" fontId="54" fillId="0" borderId="0" xfId="23" applyNumberFormat="1" applyFont="1"/>
    <xf numFmtId="0" fontId="54" fillId="0" borderId="0" xfId="25" applyFont="1" applyAlignment="1">
      <alignment horizontal="center"/>
    </xf>
    <xf numFmtId="0" fontId="68" fillId="0" borderId="0" xfId="23" applyFont="1"/>
    <xf numFmtId="171" fontId="54" fillId="0" borderId="27" xfId="23" applyNumberFormat="1" applyFont="1" applyBorder="1"/>
    <xf numFmtId="0" fontId="23" fillId="0" borderId="25" xfId="0" applyFont="1" applyBorder="1" applyAlignment="1">
      <alignment horizontal="center"/>
    </xf>
    <xf numFmtId="0" fontId="23" fillId="0" borderId="26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24" xfId="0" applyBorder="1" applyAlignment="1">
      <alignment vertical="center"/>
    </xf>
    <xf numFmtId="0" fontId="0" fillId="0" borderId="35" xfId="0" applyBorder="1" applyAlignment="1">
      <alignment vertical="center"/>
    </xf>
    <xf numFmtId="0" fontId="23" fillId="6" borderId="7" xfId="0" applyFont="1" applyFill="1" applyBorder="1" applyAlignment="1">
      <alignment horizontal="left"/>
    </xf>
    <xf numFmtId="0" fontId="23" fillId="6" borderId="8" xfId="0" applyFont="1" applyFill="1" applyBorder="1" applyAlignment="1">
      <alignment horizontal="left"/>
    </xf>
    <xf numFmtId="0" fontId="23" fillId="6" borderId="9" xfId="0" applyFont="1" applyFill="1" applyBorder="1" applyAlignment="1">
      <alignment horizontal="left"/>
    </xf>
    <xf numFmtId="0" fontId="23" fillId="6" borderId="10" xfId="0" applyFont="1" applyFill="1" applyBorder="1" applyAlignment="1">
      <alignment horizontal="left"/>
    </xf>
    <xf numFmtId="0" fontId="23" fillId="6" borderId="0" xfId="0" applyFont="1" applyFill="1" applyAlignment="1">
      <alignment horizontal="right"/>
    </xf>
    <xf numFmtId="0" fontId="23" fillId="6" borderId="8" xfId="0" applyFont="1" applyFill="1" applyBorder="1" applyAlignment="1">
      <alignment horizontal="right"/>
    </xf>
    <xf numFmtId="0" fontId="23" fillId="6" borderId="4" xfId="0" applyFont="1" applyFill="1" applyBorder="1" applyAlignment="1">
      <alignment horizontal="right"/>
    </xf>
    <xf numFmtId="0" fontId="23" fillId="6" borderId="19" xfId="0" applyFont="1" applyFill="1" applyBorder="1" applyAlignment="1">
      <alignment horizontal="right"/>
    </xf>
    <xf numFmtId="0" fontId="23" fillId="6" borderId="10" xfId="0" applyFont="1" applyFill="1" applyBorder="1" applyAlignment="1">
      <alignment horizontal="right"/>
    </xf>
    <xf numFmtId="0" fontId="38" fillId="0" borderId="25" xfId="0" applyFont="1" applyBorder="1"/>
    <xf numFmtId="0" fontId="10" fillId="0" borderId="0" xfId="0" applyFont="1" applyAlignment="1">
      <alignment horizontal="center"/>
    </xf>
    <xf numFmtId="5" fontId="10" fillId="0" borderId="0" xfId="0" applyNumberFormat="1" applyFont="1" applyAlignment="1">
      <alignment horizontal="center" wrapText="1"/>
    </xf>
    <xf numFmtId="0" fontId="38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8" fillId="6" borderId="18" xfId="0" applyFont="1" applyFill="1" applyBorder="1" applyAlignment="1">
      <alignment horizontal="center"/>
    </xf>
    <xf numFmtId="0" fontId="28" fillId="6" borderId="6" xfId="0" applyFont="1" applyFill="1" applyBorder="1" applyAlignment="1">
      <alignment horizontal="center"/>
    </xf>
    <xf numFmtId="0" fontId="61" fillId="0" borderId="0" xfId="0" applyFont="1" applyAlignment="1">
      <alignment horizontal="center"/>
    </xf>
    <xf numFmtId="0" fontId="28" fillId="6" borderId="5" xfId="0" applyFont="1" applyFill="1" applyBorder="1" applyAlignment="1">
      <alignment horizontal="center"/>
    </xf>
    <xf numFmtId="0" fontId="38" fillId="0" borderId="7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14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5" borderId="11" xfId="0" applyFill="1" applyBorder="1" applyAlignment="1">
      <alignment horizontal="center" wrapText="1"/>
    </xf>
    <xf numFmtId="0" fontId="0" fillId="5" borderId="16" xfId="0" applyFill="1" applyBorder="1" applyAlignment="1">
      <alignment horizontal="center" wrapText="1"/>
    </xf>
    <xf numFmtId="0" fontId="0" fillId="5" borderId="12" xfId="0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55" fillId="0" borderId="0" xfId="0" applyFont="1" applyAlignment="1">
      <alignment horizontal="left" wrapText="1"/>
    </xf>
    <xf numFmtId="0" fontId="54" fillId="0" borderId="0" xfId="0" applyFont="1" applyAlignment="1">
      <alignment horizontal="left" wrapText="1"/>
    </xf>
    <xf numFmtId="0" fontId="39" fillId="8" borderId="30" xfId="0" applyFont="1" applyFill="1" applyBorder="1" applyAlignment="1">
      <alignment horizontal="center"/>
    </xf>
    <xf numFmtId="0" fontId="39" fillId="8" borderId="20" xfId="0" applyFont="1" applyFill="1" applyBorder="1" applyAlignment="1">
      <alignment horizontal="center"/>
    </xf>
    <xf numFmtId="0" fontId="39" fillId="8" borderId="21" xfId="0" applyFont="1" applyFill="1" applyBorder="1" applyAlignment="1">
      <alignment horizontal="center"/>
    </xf>
    <xf numFmtId="0" fontId="39" fillId="8" borderId="25" xfId="0" applyFont="1" applyFill="1" applyBorder="1" applyAlignment="1">
      <alignment horizontal="center"/>
    </xf>
    <xf numFmtId="0" fontId="39" fillId="8" borderId="0" xfId="0" applyFont="1" applyFill="1" applyAlignment="1">
      <alignment horizontal="center"/>
    </xf>
    <xf numFmtId="0" fontId="39" fillId="8" borderId="22" xfId="0" applyFont="1" applyFill="1" applyBorder="1" applyAlignment="1">
      <alignment horizontal="center"/>
    </xf>
    <xf numFmtId="0" fontId="40" fillId="8" borderId="25" xfId="0" applyFont="1" applyFill="1" applyBorder="1" applyAlignment="1">
      <alignment horizontal="center"/>
    </xf>
    <xf numFmtId="0" fontId="40" fillId="8" borderId="0" xfId="0" applyFont="1" applyFill="1" applyAlignment="1">
      <alignment horizontal="center"/>
    </xf>
    <xf numFmtId="0" fontId="40" fillId="8" borderId="22" xfId="0" applyFont="1" applyFill="1" applyBorder="1" applyAlignment="1">
      <alignment horizontal="center"/>
    </xf>
    <xf numFmtId="172" fontId="0" fillId="0" borderId="0" xfId="0" applyNumberFormat="1"/>
    <xf numFmtId="174" fontId="0" fillId="0" borderId="0" xfId="0" applyNumberFormat="1"/>
  </cellXfs>
  <cellStyles count="31">
    <cellStyle name="Comma" xfId="1" builtinId="3"/>
    <cellStyle name="Comma 2" xfId="9" xr:uid="{00000000-0005-0000-0000-000001000000}"/>
    <cellStyle name="Comma 2 2" xfId="29" xr:uid="{11C202B3-CAFF-4FB3-A5E9-E6A7FEA211A3}"/>
    <cellStyle name="Comma 3" xfId="6" xr:uid="{00000000-0005-0000-0000-000002000000}"/>
    <cellStyle name="Comma 4" xfId="20" xr:uid="{B415F562-920A-4DA0-A0F8-0F146F530B4B}"/>
    <cellStyle name="Comma 5" xfId="14" xr:uid="{5647F9E2-0C39-46D0-A1D6-3F9822AFC766}"/>
    <cellStyle name="Comma 7" xfId="17" xr:uid="{D95190E7-61D3-4B36-9ACD-DE9B2A10F22F}"/>
    <cellStyle name="Currency" xfId="11" builtinId="4"/>
    <cellStyle name="Currency 2" xfId="19" xr:uid="{DBA06E33-DE1E-4253-BFE6-90B110421CFD}"/>
    <cellStyle name="Normal" xfId="0" builtinId="0"/>
    <cellStyle name="Normal 10 2 2" xfId="12" xr:uid="{AFEE3A38-9E1F-4DE3-958C-99A588F20863}"/>
    <cellStyle name="Normal 11" xfId="10" xr:uid="{00000000-0005-0000-0000-000004000000}"/>
    <cellStyle name="Normal 15" xfId="25" xr:uid="{97589E0A-8A6F-4194-8C7A-AE8F159298B3}"/>
    <cellStyle name="Normal 16" xfId="23" xr:uid="{A246FB27-F2AF-474E-8F1B-6F284FB88006}"/>
    <cellStyle name="Normal 19" xfId="24" xr:uid="{48C27E09-A34A-48D0-AA97-79DFD881D4BC}"/>
    <cellStyle name="Normal 2" xfId="3" xr:uid="{00000000-0005-0000-0000-000005000000}"/>
    <cellStyle name="Normal 2 2" xfId="4" xr:uid="{00000000-0005-0000-0000-000006000000}"/>
    <cellStyle name="Normal 2 3" xfId="28" xr:uid="{FA3D7F1B-D408-4B7C-9473-0F495B93013D}"/>
    <cellStyle name="Normal 20" xfId="21" xr:uid="{06C6E569-AE70-452F-A9DA-E2DA39412499}"/>
    <cellStyle name="Normal 21" xfId="7" xr:uid="{00000000-0005-0000-0000-000007000000}"/>
    <cellStyle name="Normal 3" xfId="5" xr:uid="{00000000-0005-0000-0000-000008000000}"/>
    <cellStyle name="Normal 3 2" xfId="15" xr:uid="{32A4F558-A338-4DB6-AB28-68152184B57D}"/>
    <cellStyle name="Normal 4" xfId="8" xr:uid="{00000000-0005-0000-0000-000009000000}"/>
    <cellStyle name="Normal 5" xfId="27" xr:uid="{B865A7A6-9285-4587-BBA1-30985F67DD0C}"/>
    <cellStyle name="Normal 6" xfId="13" xr:uid="{77AEE59F-03AF-4944-988C-F91D29EAC7A0}"/>
    <cellStyle name="Normal 7" xfId="30" xr:uid="{4C9E8BD7-2B37-4748-9552-63140FA46E5A}"/>
    <cellStyle name="Normal 9" xfId="16" xr:uid="{5C497091-132E-4735-8C8A-793B1100135B}"/>
    <cellStyle name="Normal_COSS9612" xfId="2" xr:uid="{00000000-0005-0000-0000-00000A000000}"/>
    <cellStyle name="Normal_Debt Service" xfId="22" xr:uid="{656A352F-E9C8-4CFD-A9A1-162B280D55CB}"/>
    <cellStyle name="Normal_Table 4-2, 4-3 Expense Tables" xfId="18" xr:uid="{0CDD0F0E-E830-4791-B247-50EBB27080F2}"/>
    <cellStyle name="Percent" xfId="26" builtinId="5"/>
  </cellStyles>
  <dxfs count="16">
    <dxf>
      <numFmt numFmtId="35" formatCode="_(* #,##0.00_);_(* \(#,##0.00\);_(* &quot;-&quot;??_);_(@_)"/>
    </dxf>
    <dxf>
      <numFmt numFmtId="35" formatCode="_(* #,##0.00_);_(* \(#,##0.00\);_(* &quot;-&quot;??_);_(@_)"/>
    </dxf>
    <dxf>
      <alignment horizontal="center"/>
    </dxf>
    <dxf>
      <alignment horizontal="center"/>
    </dxf>
    <dxf>
      <alignment wrapText="1"/>
    </dxf>
    <dxf>
      <alignment wrapText="1"/>
    </dxf>
    <dxf>
      <alignment wrapText="1"/>
    </dxf>
    <dxf>
      <numFmt numFmtId="165" formatCode="_(* #,##0_);_(* \(#,##0\);_(* &quot;-&quot;??_);_(@_)"/>
    </dxf>
    <dxf>
      <alignment horizontal="center"/>
    </dxf>
    <dxf>
      <alignment horizontal="center"/>
    </dxf>
    <dxf>
      <alignment wrapText="1"/>
    </dxf>
    <dxf>
      <alignment wrapText="1"/>
    </dxf>
    <dxf>
      <alignment wrapText="1"/>
    </dxf>
    <dxf>
      <numFmt numFmtId="165" formatCode="_(* #,##0_);_(* \(#,##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Users\lnewby\AppData\Local\static\themes\theme_skyros\images\spacer.gif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72</xdr:row>
      <xdr:rowOff>0</xdr:rowOff>
    </xdr:from>
    <xdr:ext cx="9525" cy="9525"/>
    <xdr:pic>
      <xdr:nvPicPr>
        <xdr:cNvPr id="2" name="Picture 2" descr="C:\Users\lnewby\AppData\Local\static\themes\theme_skyros\images\spacer.gif">
          <a:extLst>
            <a:ext uri="{FF2B5EF4-FFF2-40B4-BE49-F238E27FC236}">
              <a16:creationId xmlns:a16="http://schemas.microsoft.com/office/drawing/2014/main" id="{19F908CB-DD6E-4D5F-BBBE-70B7E3316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1734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457200</xdr:colOff>
      <xdr:row>76</xdr:row>
      <xdr:rowOff>152400</xdr:rowOff>
    </xdr:from>
    <xdr:to>
      <xdr:col>0</xdr:col>
      <xdr:colOff>3886200</xdr:colOff>
      <xdr:row>95</xdr:row>
      <xdr:rowOff>0</xdr:rowOff>
    </xdr:to>
    <xdr:sp macro="" textlink="">
      <xdr:nvSpPr>
        <xdr:cNvPr id="3" name="ToolsXML" hidden="1">
          <a:extLst>
            <a:ext uri="{FF2B5EF4-FFF2-40B4-BE49-F238E27FC236}">
              <a16:creationId xmlns:a16="http://schemas.microsoft.com/office/drawing/2014/main" id="{D96FF196-9831-4DC4-98B7-CDEED4BB1F68}"/>
            </a:ext>
          </a:extLst>
        </xdr:cNvPr>
        <xdr:cNvSpPr txBox="1">
          <a:spLocks noChangeArrowheads="1"/>
        </xdr:cNvSpPr>
      </xdr:nvSpPr>
      <xdr:spPr bwMode="auto">
        <a:xfrm>
          <a:off x="381000" y="12658725"/>
          <a:ext cx="0" cy="2705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relationId="4037921"&gt;&lt;page&gt;page_UTF8=Grid1:0&amp;amp;printpage=-1&lt;/page&gt;&lt;refresh&gt;&lt;url method="post"&gt;/hr/common/HRLogon.jsp?elementName_UTF8=%2fPricing%2fCost%20of%20Service%20Study%2fElectric%20Classification%20of%20Salaries%20%26%20Wages&amp;amp;elementType=2&amp;amp;viewAs=html&amp;amp;sso_token=$SSO_TOKEN$&amp;amp;$CONTEXT$&amp;amp;action=refresh&amp;amp;&amp;amp;allPages=false&amp;amp;splitPages=false&amp;amp;refUsingWSPOV=false&amp;amp;LOCALE_LANGUAGE=en_US&lt;/url&gt;&lt;/refresh&gt;&lt;edit&gt;&lt;url method="post"&gt;/workspace/index.jsp?module=tools.relatedcontent&amp;amp;repository_path=%2fPricing%2fCost%20of%20Service%20Study%2fElectric%20Classification%20of%20Salaries%20%26%20Wages&amp;amp;elementType=2&amp;amp;repository_name=%2fPricing%2fCost%20of%20Service%20Study%2fElectric%20Classification%20of%20Salaries%20%26%20Wages&amp;amp;$CONTEXT$&amp;amp;layout=embedded&amp;amp;bpm.logoff=false&amp;amp;bpm_showtab=false&amp;amp;repository_format_id=html&amp;amp;mimetype=application/hyperion-reports-report&amp;amp;action=edit&amp;amp;&amp;amp;allPages=false&amp;amp;splitPages=false&amp;amp;refUsingWSPOV=false&lt;/url&gt;&lt;/edit&gt;&lt;close&gt;&lt;url method="post"&gt;/hr/common/HRClientRefTracker.jsp?removeInstanceId=4037921&lt;/url&gt;&lt;/close&gt;&lt;/ToolsActions&gt;</a:t>
          </a:r>
        </a:p>
      </xdr:txBody>
    </xdr:sp>
    <xdr:clientData/>
  </xdr:twoCellAnchor>
  <xdr:oneCellAnchor>
    <xdr:from>
      <xdr:col>2</xdr:col>
      <xdr:colOff>152400</xdr:colOff>
      <xdr:row>5</xdr:row>
      <xdr:rowOff>66675</xdr:rowOff>
    </xdr:from>
    <xdr:ext cx="3221138" cy="264560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7DFC73-2772-4989-8A6C-E7EB72444015}"/>
            </a:ext>
          </a:extLst>
        </xdr:cNvPr>
        <xdr:cNvSpPr txBox="1">
          <a:spLocks noChangeArrowheads="1"/>
        </xdr:cNvSpPr>
      </xdr:nvSpPr>
      <xdr:spPr bwMode="auto">
        <a:xfrm>
          <a:off x="1272988" y="1019175"/>
          <a:ext cx="3221138" cy="26456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+mn-lt"/>
              <a:cs typeface="Microsoft Sans Serif"/>
            </a:rPr>
            <a:t>Operating and Maintenance (O&amp;M) Expenses Detail</a:t>
          </a:r>
          <a:endParaRPr lang="en-US" sz="1100" b="0" i="0" u="none" strike="noStrike" baseline="0">
            <a:solidFill>
              <a:srgbClr val="000000"/>
            </a:solidFill>
            <a:latin typeface="+mn-lt"/>
            <a:cs typeface="Microsoft Sans Serif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40</xdr:row>
      <xdr:rowOff>19050</xdr:rowOff>
    </xdr:from>
    <xdr:to>
      <xdr:col>11</xdr:col>
      <xdr:colOff>78076</xdr:colOff>
      <xdr:row>59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C5C3F5-675C-2FF8-8485-8D7205CDA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391400"/>
          <a:ext cx="7555201" cy="360045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nnifer Franceschelli" refreshedDate="46252.762285416669" createdVersion="8" refreshedVersion="8" minRefreshableVersion="3" recordCount="58" xr:uid="{13ECA3ED-DC6A-413D-A3F3-5601BF9D4AB8}">
  <cacheSource type="worksheet">
    <worksheetSource ref="A9:AP67" sheet="WP5 Elec Plant 13-mo"/>
  </cacheSource>
  <cacheFields count="42">
    <cacheField name="Asset Type" numFmtId="0">
      <sharedItems containsBlank="1"/>
    </cacheField>
    <cacheField name="Service" numFmtId="0">
      <sharedItems containsBlank="1"/>
    </cacheField>
    <cacheField name="Function" numFmtId="0">
      <sharedItems count="6">
        <s v="Intangible Plant"/>
        <s v="Production Plant"/>
        <s v="Transmission Plant"/>
        <s v="Distribution Plant"/>
        <s v="General Plant"/>
        <s v="Grand Total"/>
      </sharedItems>
    </cacheField>
    <cacheField name="Dec24-Asset Cost" numFmtId="43">
      <sharedItems containsSemiMixedTypes="0" containsString="0" containsNumber="1" minValue="0" maxValue="2758214163.3499999"/>
    </cacheField>
    <cacheField name="Dec24-Accum Depre" numFmtId="43">
      <sharedItems containsSemiMixedTypes="0" containsString="0" containsNumber="1" minValue="-1585115686.53" maxValue="0"/>
    </cacheField>
    <cacheField name="Dec24-Book Value" numFmtId="43">
      <sharedItems containsSemiMixedTypes="0" containsString="0" containsNumber="1" minValue="0" maxValue="1173098476.8200002"/>
    </cacheField>
    <cacheField name="Jan25-Asset Cost" numFmtId="43">
      <sharedItems containsSemiMixedTypes="0" containsString="0" containsNumber="1" minValue="0" maxValue="2758110460.46"/>
    </cacheField>
    <cacheField name="Jan25-Accum Depre" numFmtId="43">
      <sharedItems containsSemiMixedTypes="0" containsString="0" containsNumber="1" minValue="-1592436370.4300001" maxValue="0"/>
    </cacheField>
    <cacheField name="Jan25-Book Value" numFmtId="43">
      <sharedItems containsSemiMixedTypes="0" containsString="0" containsNumber="1" minValue="0" maxValue="1165674090.0300002"/>
    </cacheField>
    <cacheField name="Feb25-Asset Cost" numFmtId="43">
      <sharedItems containsSemiMixedTypes="0" containsString="0" containsNumber="1" minValue="0" maxValue="2757806013.3099999"/>
    </cacheField>
    <cacheField name="Feb25-Accum Depre" numFmtId="43">
      <sharedItems containsSemiMixedTypes="0" containsString="0" containsNumber="1" minValue="-1599550758.0999994" maxValue="0"/>
    </cacheField>
    <cacheField name="Feb25-Book Value" numFmtId="43">
      <sharedItems containsSemiMixedTypes="0" containsString="0" containsNumber="1" minValue="0" maxValue="1158255255.2100003"/>
    </cacheField>
    <cacheField name="Mar25-Asset Cost" numFmtId="43">
      <sharedItems containsSemiMixedTypes="0" containsString="0" containsNumber="1" minValue="0" maxValue="2757769691.48"/>
    </cacheField>
    <cacheField name="Mar25-Accum Depre" numFmtId="43">
      <sharedItems containsSemiMixedTypes="0" containsString="0" containsNumber="1" minValue="-1606926708.9499996" maxValue="0"/>
    </cacheField>
    <cacheField name="Mar25-Book Value" numFmtId="43">
      <sharedItems containsSemiMixedTypes="0" containsString="0" containsNumber="1" minValue="0" maxValue="1150842982.53"/>
    </cacheField>
    <cacheField name="Apr25-Asset Cost" numFmtId="43">
      <sharedItems containsSemiMixedTypes="0" containsString="0" containsNumber="1" minValue="0" maxValue="2757760388.98"/>
    </cacheField>
    <cacheField name="Apr25-Accum Depre" numFmtId="43">
      <sharedItems containsSemiMixedTypes="0" containsString="0" containsNumber="1" minValue="-1614320084.6599998" maxValue="0"/>
    </cacheField>
    <cacheField name="Apr25-Book Value" numFmtId="43">
      <sharedItems containsSemiMixedTypes="0" containsString="0" containsNumber="1" minValue="0" maxValue="1143440304.3200004"/>
    </cacheField>
    <cacheField name="May25-Asset Cost" numFmtId="43">
      <sharedItems containsSemiMixedTypes="0" containsString="0" containsNumber="1" minValue="0" maxValue="2757731976.4000001"/>
    </cacheField>
    <cacheField name="May25-Accum Depre" numFmtId="43">
      <sharedItems containsSemiMixedTypes="0" containsString="0" containsNumber="1" minValue="-1621671574.1999998" maxValue="0"/>
    </cacheField>
    <cacheField name="May25-Book Value" numFmtId="43">
      <sharedItems containsSemiMixedTypes="0" containsString="0" containsNumber="1" minValue="0" maxValue="1136060402.1999998"/>
    </cacheField>
    <cacheField name="Jun25-Asset Cost" numFmtId="43">
      <sharedItems containsSemiMixedTypes="0" containsString="0" containsNumber="1" minValue="0" maxValue="2757731976.4000001"/>
    </cacheField>
    <cacheField name="Jun25-Accum Depre" numFmtId="43">
      <sharedItems containsSemiMixedTypes="0" containsString="0" containsNumber="1" minValue="-1629049255.3199995" maxValue="0"/>
    </cacheField>
    <cacheField name="Jun25-Book Value" numFmtId="43">
      <sharedItems containsSemiMixedTypes="0" containsString="0" containsNumber="1" minValue="0" maxValue="1128682721.0800002"/>
    </cacheField>
    <cacheField name="Jul25-Asset Cost" numFmtId="43">
      <sharedItems containsSemiMixedTypes="0" containsString="0" containsNumber="1" minValue="0" maxValue="2757625855.48"/>
    </cacheField>
    <cacheField name="Jul25-Accum Depre" numFmtId="43">
      <sharedItems containsSemiMixedTypes="0" containsString="0" containsNumber="1" minValue="-1636220331.9299996" maxValue="0"/>
    </cacheField>
    <cacheField name="Jul25-Book Value" numFmtId="43">
      <sharedItems containsSemiMixedTypes="0" containsString="0" containsNumber="1" minValue="0" maxValue="1121405523.55"/>
    </cacheField>
    <cacheField name="Aug25-Asset Cost" numFmtId="43">
      <sharedItems containsSemiMixedTypes="0" containsString="0" containsNumber="1" minValue="0" maxValue="2760116067.2599998"/>
    </cacheField>
    <cacheField name="Aug25-Accum Depre" numFmtId="43">
      <sharedItems containsSemiMixedTypes="0" containsString="0" containsNumber="1" minValue="-1642845087.49" maxValue="0"/>
    </cacheField>
    <cacheField name="Aug25-Book Value" numFmtId="43">
      <sharedItems containsSemiMixedTypes="0" containsString="0" containsNumber="1" minValue="0" maxValue="1117270979.7699997"/>
    </cacheField>
    <cacheField name="Sep25-Asset Cost" numFmtId="43">
      <sharedItems containsSemiMixedTypes="0" containsString="0" containsNumber="1" minValue="0" maxValue="2761135897.7399988"/>
    </cacheField>
    <cacheField name="Sep25-Accum Depre" numFmtId="43">
      <sharedItems containsSemiMixedTypes="0" containsString="0" containsNumber="1" minValue="-1649928050.3799999" maxValue="0"/>
    </cacheField>
    <cacheField name="Sep25-Book Value" numFmtId="43">
      <sharedItems containsSemiMixedTypes="0" containsString="0" containsNumber="1" minValue="0" maxValue="1111207847.3600004"/>
    </cacheField>
    <cacheField name="Oct25-Asset Cost" numFmtId="43">
      <sharedItems containsSemiMixedTypes="0" containsString="0" containsNumber="1" minValue="0" maxValue="2760425903.3999991"/>
    </cacheField>
    <cacheField name="Oct25-Accum Depre" numFmtId="43">
      <sharedItems containsSemiMixedTypes="0" containsString="0" containsNumber="1" minValue="-1656571624.7799995" maxValue="0"/>
    </cacheField>
    <cacheField name="Oct25-Book Value" numFmtId="43">
      <sharedItems containsSemiMixedTypes="0" containsString="0" containsNumber="1" minValue="0" maxValue="1103854278.6199999"/>
    </cacheField>
    <cacheField name="Nov25-Asset Cost" numFmtId="43">
      <sharedItems containsSemiMixedTypes="0" containsString="0" containsNumber="1" minValue="0" maxValue="2767129768.9299994"/>
    </cacheField>
    <cacheField name="Nov25-Accum Depre" numFmtId="43">
      <sharedItems containsSemiMixedTypes="0" containsString="0" containsNumber="1" minValue="-1664119368.79" maxValue="0"/>
    </cacheField>
    <cacheField name="Nov25-Book Value" numFmtId="43">
      <sharedItems containsSemiMixedTypes="0" containsString="0" containsNumber="1" minValue="0" maxValue="1103010400.1400003"/>
    </cacheField>
    <cacheField name="Dec25-Asset Cost" numFmtId="43">
      <sharedItems containsSemiMixedTypes="0" containsString="0" containsNumber="1" minValue="0" maxValue="3073069495.9900002"/>
    </cacheField>
    <cacheField name="Dec25-Accum Depre" numFmtId="43">
      <sharedItems containsSemiMixedTypes="0" containsString="0" containsNumber="1" minValue="-1678370152.4499998" maxValue="0"/>
    </cacheField>
    <cacheField name="Dec25-Book Value" numFmtId="43">
      <sharedItems containsSemiMixedTypes="0" containsString="0" containsNumber="1" minValue="0" maxValue="1394699343.540000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nnifer Franceschelli" refreshedDate="46252.762959143518" createdVersion="8" refreshedVersion="8" minRefreshableVersion="3" recordCount="57" xr:uid="{74108688-DE86-4B46-A36C-E8814BCB3481}">
  <cacheSource type="worksheet">
    <worksheetSource ref="A9:AP66" sheet="WP5 Elec Plant 13-mo"/>
  </cacheSource>
  <cacheFields count="42">
    <cacheField name="Asset Type" numFmtId="0">
      <sharedItems/>
    </cacheField>
    <cacheField name="Service" numFmtId="0">
      <sharedItems/>
    </cacheField>
    <cacheField name="Function" numFmtId="0">
      <sharedItems count="5">
        <s v="Intangible Plant"/>
        <s v="Production Plant"/>
        <s v="Transmission Plant"/>
        <s v="Distribution Plant"/>
        <s v="General Plant"/>
      </sharedItems>
    </cacheField>
    <cacheField name="Dec24-Asset Cost" numFmtId="43">
      <sharedItems containsSemiMixedTypes="0" containsString="0" containsNumber="1" minValue="0" maxValue="353074868.56"/>
    </cacheField>
    <cacheField name="Dec24-Accum Depre" numFmtId="43">
      <sharedItems containsSemiMixedTypes="0" containsString="0" containsNumber="1" minValue="-237609800.36999997" maxValue="0"/>
    </cacheField>
    <cacheField name="Dec24-Book Value" numFmtId="43">
      <sharedItems containsSemiMixedTypes="0" containsString="0" containsNumber="1" minValue="0" maxValue="164415088.6400001"/>
    </cacheField>
    <cacheField name="Jan25-Asset Cost" numFmtId="43">
      <sharedItems containsSemiMixedTypes="0" containsString="0" containsNumber="1" minValue="0" maxValue="353074868.56"/>
    </cacheField>
    <cacheField name="Jan25-Accum Depre" numFmtId="43">
      <sharedItems containsSemiMixedTypes="0" containsString="0" containsNumber="1" minValue="-238841534.70999998" maxValue="0"/>
    </cacheField>
    <cacheField name="Jan25-Book Value" numFmtId="43">
      <sharedItems containsSemiMixedTypes="0" containsString="0" containsNumber="1" minValue="0" maxValue="163628665.4600001"/>
    </cacheField>
    <cacheField name="Feb25-Asset Cost" numFmtId="43">
      <sharedItems containsSemiMixedTypes="0" containsString="0" containsNumber="1" minValue="0" maxValue="353074868.56"/>
    </cacheField>
    <cacheField name="Feb25-Accum Depre" numFmtId="43">
      <sharedItems containsSemiMixedTypes="0" containsString="0" containsNumber="1" minValue="-240073269.03999996" maxValue="0"/>
    </cacheField>
    <cacheField name="Feb25-Book Value" numFmtId="43">
      <sharedItems containsSemiMixedTypes="0" containsString="0" containsNumber="1" minValue="0" maxValue="162842242.29000011"/>
    </cacheField>
    <cacheField name="Mar25-Asset Cost" numFmtId="43">
      <sharedItems containsSemiMixedTypes="0" containsString="0" containsNumber="1" minValue="0" maxValue="353074868.56"/>
    </cacheField>
    <cacheField name="Mar25-Accum Depre" numFmtId="43">
      <sharedItems containsSemiMixedTypes="0" containsString="0" containsNumber="1" minValue="-241305003.63" maxValue="0"/>
    </cacheField>
    <cacheField name="Mar25-Book Value" numFmtId="43">
      <sharedItems containsSemiMixedTypes="0" containsString="0" containsNumber="1" minValue="0" maxValue="162055819.10000011"/>
    </cacheField>
    <cacheField name="Apr25-Asset Cost" numFmtId="43">
      <sharedItems containsSemiMixedTypes="0" containsString="0" containsNumber="1" minValue="0" maxValue="353074868.56"/>
    </cacheField>
    <cacheField name="Apr25-Accum Depre" numFmtId="43">
      <sharedItems containsSemiMixedTypes="0" containsString="0" containsNumber="1" minValue="-242536738.07999998" maxValue="0"/>
    </cacheField>
    <cacheField name="Apr25-Book Value" numFmtId="43">
      <sharedItems containsSemiMixedTypes="0" containsString="0" containsNumber="1" minValue="0" maxValue="161269395.88000011"/>
    </cacheField>
    <cacheField name="May25-Asset Cost" numFmtId="43">
      <sharedItems containsSemiMixedTypes="0" containsString="0" containsNumber="1" minValue="0" maxValue="353074868.56"/>
    </cacheField>
    <cacheField name="May25-Accum Depre" numFmtId="43">
      <sharedItems containsSemiMixedTypes="0" containsString="0" containsNumber="1" minValue="-243768472.72999999" maxValue="0"/>
    </cacheField>
    <cacheField name="May25-Book Value" numFmtId="43">
      <sharedItems containsSemiMixedTypes="0" containsString="0" containsNumber="1" minValue="0" maxValue="160482972.67000011"/>
    </cacheField>
    <cacheField name="Jun25-Asset Cost" numFmtId="43">
      <sharedItems containsSemiMixedTypes="0" containsString="0" containsNumber="1" minValue="0" maxValue="353074868.56"/>
    </cacheField>
    <cacheField name="Jun25-Accum Depre" numFmtId="43">
      <sharedItems containsSemiMixedTypes="0" containsString="0" containsNumber="1" minValue="-245000207.23999998" maxValue="0"/>
    </cacheField>
    <cacheField name="Jun25-Book Value" numFmtId="43">
      <sharedItems containsSemiMixedTypes="0" containsString="0" containsNumber="1" minValue="0" maxValue="159696549.44000012"/>
    </cacheField>
    <cacheField name="Jul25-Asset Cost" numFmtId="43">
      <sharedItems containsSemiMixedTypes="0" containsString="0" containsNumber="1" minValue="0" maxValue="353074868.56"/>
    </cacheField>
    <cacheField name="Jul25-Accum Depre" numFmtId="43">
      <sharedItems containsSemiMixedTypes="0" containsString="0" containsNumber="1" minValue="-246231941.89999998" maxValue="0"/>
    </cacheField>
    <cacheField name="Jul25-Book Value" numFmtId="43">
      <sharedItems containsSemiMixedTypes="0" containsString="0" containsNumber="1" minValue="0" maxValue="158924372.2400001"/>
    </cacheField>
    <cacheField name="Aug25-Asset Cost" numFmtId="43">
      <sharedItems containsSemiMixedTypes="0" containsString="0" containsNumber="1" minValue="0" maxValue="353074868.56"/>
    </cacheField>
    <cacheField name="Aug25-Accum Depre" numFmtId="43">
      <sharedItems containsSemiMixedTypes="0" containsString="0" containsNumber="1" minValue="-247463676.77999997" maxValue="0"/>
    </cacheField>
    <cacheField name="Aug25-Book Value" numFmtId="43">
      <sharedItems containsSemiMixedTypes="0" containsString="0" containsNumber="1" minValue="0" maxValue="158152195.03000009"/>
    </cacheField>
    <cacheField name="Sep25-Asset Cost" numFmtId="43">
      <sharedItems containsSemiMixedTypes="0" containsString="0" containsNumber="1" minValue="0" maxValue="353074868.56"/>
    </cacheField>
    <cacheField name="Sep25-Accum Depre" numFmtId="43">
      <sharedItems containsSemiMixedTypes="0" containsString="0" containsNumber="1" minValue="-248695411.49999997" maxValue="0"/>
    </cacheField>
    <cacheField name="Sep25-Book Value" numFmtId="43">
      <sharedItems containsSemiMixedTypes="0" containsString="0" containsNumber="1" minValue="0" maxValue="157401107.4000001"/>
    </cacheField>
    <cacheField name="Oct25-Asset Cost" numFmtId="43">
      <sharedItems containsSemiMixedTypes="0" containsString="0" containsNumber="1" minValue="0" maxValue="353074868.56"/>
    </cacheField>
    <cacheField name="Oct25-Accum Depre" numFmtId="43">
      <sharedItems containsSemiMixedTypes="0" containsString="0" containsNumber="1" minValue="-249927146.38" maxValue="0"/>
    </cacheField>
    <cacheField name="Oct25-Book Value" numFmtId="43">
      <sharedItems containsSemiMixedTypes="0" containsString="0" containsNumber="1" minValue="0" maxValue="156628876.2400001"/>
    </cacheField>
    <cacheField name="Nov25-Asset Cost" numFmtId="43">
      <sharedItems containsSemiMixedTypes="0" containsString="0" containsNumber="1" minValue="0" maxValue="353074868.56"/>
    </cacheField>
    <cacheField name="Nov25-Accum Depre" numFmtId="43">
      <sharedItems containsSemiMixedTypes="0" containsString="0" containsNumber="1" minValue="-251027474.56999999" maxValue="0"/>
    </cacheField>
    <cacheField name="Nov25-Book Value" numFmtId="43">
      <sharedItems containsSemiMixedTypes="0" containsString="0" containsNumber="1" minValue="0" maxValue="155856645.0800001"/>
    </cacheField>
    <cacheField name="Dec25-Asset Cost" numFmtId="43">
      <sharedItems containsSemiMixedTypes="0" containsString="0" containsNumber="1" minValue="0" maxValue="389964603.63999999"/>
    </cacheField>
    <cacheField name="Dec25-Accum Depre" numFmtId="43">
      <sharedItems containsSemiMixedTypes="0" containsString="0" containsNumber="1" minValue="-258755885.01999998" maxValue="0"/>
    </cacheField>
    <cacheField name="Dec25-Book Value" numFmtId="43">
      <sharedItems containsSemiMixedTypes="0" containsString="0" containsNumber="1" minValue="0" maxValue="176016649.2500001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had Clardy" refreshedDate="46262.618182523147" createdVersion="8" refreshedVersion="8" minRefreshableVersion="3" recordCount="64" xr:uid="{A6AFADBA-7225-4628-B55C-32DE56341CC2}">
  <cacheSource type="worksheet">
    <worksheetSource ref="A8:F72" sheet="WP6 Capital Projects"/>
  </cacheSource>
  <cacheFields count="6">
    <cacheField name="Line No." numFmtId="0">
      <sharedItems containsBlank="1" containsMixedTypes="1" containsNumber="1" containsInteger="1" minValue="1" maxValue="62"/>
    </cacheField>
    <cacheField name="Project Function" numFmtId="0">
      <sharedItems containsBlank="1" count="12">
        <s v="(b)"/>
        <m/>
        <s v="General Plant"/>
        <s v="Transmission Plant"/>
        <s v="Distribution Plant"/>
        <s v="Production Plant - Other Production Plant (Ct)"/>
        <s v="Prd Plt - Steam Plts" u="1"/>
        <s v="Mgmt Reserve" u="1"/>
        <s v="General" u="1"/>
        <s v="Transmission" u="1"/>
        <s v="Distribution" u="1"/>
        <s v="Production" u="1"/>
      </sharedItems>
    </cacheField>
    <cacheField name="Description" numFmtId="0">
      <sharedItems containsBlank="1"/>
    </cacheField>
    <cacheField name="Planned Capex" numFmtId="0">
      <sharedItems containsBlank="1" containsMixedTypes="1" containsNumber="1" containsInteger="1" minValue="0" maxValue="73151230"/>
    </cacheField>
    <cacheField name="CWIP" numFmtId="0">
      <sharedItems containsBlank="1" containsMixedTypes="1" containsNumber="1" minValue="-78637.14" maxValue="24309071.585999999"/>
    </cacheField>
    <cacheField name="Projected Capex/CWIP Additions (1)" numFmtId="0">
      <sharedItems containsBlank="1" containsMixedTypes="1" containsNumber="1" minValue="-78637.14" maxValue="81599683.23000000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8">
  <r>
    <s v="E303"/>
    <s v="Electric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310"/>
    <s v="Electric"/>
    <x v="1"/>
    <n v="11209015.300000001"/>
    <n v="0"/>
    <n v="11209015.300000001"/>
    <n v="11209015.300000001"/>
    <n v="0"/>
    <n v="11209015.300000001"/>
    <n v="11209015.300000001"/>
    <n v="0"/>
    <n v="11209015.300000001"/>
    <n v="11209015.300000001"/>
    <n v="0"/>
    <n v="11209015.300000001"/>
    <n v="11209015.300000001"/>
    <n v="0"/>
    <n v="11209015.300000001"/>
    <n v="11209015.300000001"/>
    <n v="0"/>
    <n v="11209015.300000001"/>
    <n v="11209015.300000001"/>
    <n v="0"/>
    <n v="11209015.300000001"/>
    <n v="11209015.300000001"/>
    <n v="0"/>
    <n v="11209015.300000001"/>
    <n v="11209015.300000001"/>
    <n v="0"/>
    <n v="11209015.300000001"/>
    <n v="11209015.300000001"/>
    <n v="0"/>
    <n v="11209015.300000001"/>
    <n v="11209015.300000001"/>
    <n v="0"/>
    <n v="11209015.300000001"/>
    <n v="11209015.300000001"/>
    <n v="0"/>
    <n v="11209015.300000001"/>
    <n v="11209015.300000001"/>
    <n v="0"/>
    <n v="11209015.300000001"/>
  </r>
  <r>
    <s v="E311"/>
    <s v="Electric"/>
    <x v="1"/>
    <n v="50094817.619999997"/>
    <n v="-31885787.020000011"/>
    <n v="18209030.599999987"/>
    <n v="50094817.619999997"/>
    <n v="-31952378.750000007"/>
    <n v="18142438.86999999"/>
    <n v="50094817.619999997"/>
    <n v="-32018970.510000009"/>
    <n v="18075847.109999988"/>
    <n v="50094817.619999997"/>
    <n v="-32085562.280000009"/>
    <n v="18009255.339999989"/>
    <n v="50094817.619999997"/>
    <n v="-32152154.030000009"/>
    <n v="17942663.589999989"/>
    <n v="50094817.619999997"/>
    <n v="-32218745.81000001"/>
    <n v="17876071.809999987"/>
    <n v="50094817.619999997"/>
    <n v="-32285337.540000007"/>
    <n v="17809480.079999991"/>
    <n v="50094817.619999997"/>
    <n v="-32351929.320000008"/>
    <n v="17742888.29999999"/>
    <n v="50094817.619999997"/>
    <n v="-32418521.030000009"/>
    <n v="17676296.589999989"/>
    <n v="50094817.619999997"/>
    <n v="-32485112.830000009"/>
    <n v="17609704.789999988"/>
    <n v="50094817.619999997"/>
    <n v="-32551704.54000001"/>
    <n v="17543113.079999987"/>
    <n v="50181378.759999998"/>
    <n v="-32619055.680000011"/>
    <n v="17562323.079999987"/>
    <n v="49670122.839999996"/>
    <n v="-32191726.010000013"/>
    <n v="17478396.829999983"/>
  </r>
  <r>
    <s v="E312"/>
    <s v="Electric"/>
    <x v="1"/>
    <n v="210497810.07000002"/>
    <n v="-162794771.20000002"/>
    <n v="47703038.870000005"/>
    <n v="210497810.07000002"/>
    <n v="-163496700.25000003"/>
    <n v="47001109.819999993"/>
    <n v="210497810.07000002"/>
    <n v="-164198629.21000001"/>
    <n v="46299180.860000014"/>
    <n v="210497810.07000002"/>
    <n v="-164900558.37"/>
    <n v="45597251.700000018"/>
    <n v="210497810.07000002"/>
    <n v="-165602324.06"/>
    <n v="44895486.01000002"/>
    <n v="210497810.07000002"/>
    <n v="-166304089.89000002"/>
    <n v="44193720.180000007"/>
    <n v="210497810.07000002"/>
    <n v="-167005592.24000001"/>
    <n v="43492217.830000013"/>
    <n v="210497810.07000002"/>
    <n v="-167672349.92000002"/>
    <n v="42825460.150000006"/>
    <n v="210497810.07000002"/>
    <n v="-168339107.06999999"/>
    <n v="42158703.00000003"/>
    <n v="210653718.26000002"/>
    <n v="-169007392.06"/>
    <n v="41646326.200000018"/>
    <n v="210603718.26000002"/>
    <n v="-169641599.94"/>
    <n v="40962118.320000023"/>
    <n v="212101838.22000003"/>
    <n v="-170523967.51999998"/>
    <n v="41577870.700000048"/>
    <n v="239391567.74000004"/>
    <n v="-171719648.07999998"/>
    <n v="67671919.660000056"/>
  </r>
  <r>
    <s v="E313"/>
    <s v="Electric"/>
    <x v="1"/>
    <n v="754704.29"/>
    <n v="-468534.73000000016"/>
    <n v="286169.55999999988"/>
    <n v="754704.29"/>
    <n v="-470738.98000000016"/>
    <n v="283965.30999999988"/>
    <n v="754704.29"/>
    <n v="-472943.23000000016"/>
    <n v="281761.05999999988"/>
    <n v="754704.29"/>
    <n v="-475147.48000000016"/>
    <n v="279556.80999999988"/>
    <n v="754704.29"/>
    <n v="-477351.73000000016"/>
    <n v="277352.55999999988"/>
    <n v="754704.29"/>
    <n v="-479555.98000000016"/>
    <n v="275148.30999999988"/>
    <n v="754704.29"/>
    <n v="-481760.23000000016"/>
    <n v="272944.05999999988"/>
    <n v="754704.29"/>
    <n v="-483828.17000000016"/>
    <n v="270876.11999999988"/>
    <n v="754704.29"/>
    <n v="-485896.11000000016"/>
    <n v="268808.17999999988"/>
    <n v="754704.29"/>
    <n v="-487964.05000000016"/>
    <n v="266740.23999999987"/>
    <n v="754704.29"/>
    <n v="-490031.99000000017"/>
    <n v="264672.29999999987"/>
    <n v="754704.29"/>
    <n v="-492099.92000000016"/>
    <n v="262604.36999999988"/>
    <n v="754704.29"/>
    <n v="-494167.86000000016"/>
    <n v="260536.42999999988"/>
  </r>
  <r>
    <s v="E314"/>
    <s v="Electric"/>
    <x v="1"/>
    <n v="41617136.25"/>
    <n v="-32253618.669999991"/>
    <n v="9363517.5800000094"/>
    <n v="41617136.25"/>
    <n v="-32335709.499999989"/>
    <n v="9281426.7500000112"/>
    <n v="41617136.25"/>
    <n v="-32417800.269999988"/>
    <n v="9199335.9800000116"/>
    <n v="41617136.25"/>
    <n v="-32498717.889999989"/>
    <n v="9118418.3600000106"/>
    <n v="41617136.25"/>
    <n v="-32579225.489999991"/>
    <n v="9037910.7600000091"/>
    <n v="41617136.25"/>
    <n v="-32659733.139999989"/>
    <n v="8957403.1100000106"/>
    <n v="41617136.25"/>
    <n v="-32740240.699999988"/>
    <n v="8876895.5500000119"/>
    <n v="41617136.25"/>
    <n v="-32819913.469999988"/>
    <n v="8797222.7800000124"/>
    <n v="41617136.25"/>
    <n v="-32899586.11999999"/>
    <n v="8717550.1300000101"/>
    <n v="41617136.25"/>
    <n v="-32979258.899999987"/>
    <n v="8637877.3500000127"/>
    <n v="41617136.25"/>
    <n v="-33058931.539999988"/>
    <n v="8558204.7100000121"/>
    <n v="41617136.25"/>
    <n v="-33138604.359999988"/>
    <n v="8478531.8900000118"/>
    <n v="42628460.140000001"/>
    <n v="-33132041.59999999"/>
    <n v="9496418.5400000103"/>
  </r>
  <r>
    <s v="E315"/>
    <s v="Electric"/>
    <x v="1"/>
    <n v="27744976.029999997"/>
    <n v="-23759086.710000001"/>
    <n v="3985889.3199999966"/>
    <n v="27744976.029999997"/>
    <n v="-23812286.68"/>
    <n v="3932689.3499999978"/>
    <n v="27744976.029999997"/>
    <n v="-23865486.609999999"/>
    <n v="3879489.4199999981"/>
    <n v="27744976.029999997"/>
    <n v="-23918686.710000001"/>
    <n v="3826289.3199999966"/>
    <n v="27744976.029999997"/>
    <n v="-23971886.66"/>
    <n v="3773089.3699999973"/>
    <n v="27744976.029999997"/>
    <n v="-24025086.870000001"/>
    <n v="3719889.1599999964"/>
    <n v="27744976.029999997"/>
    <n v="-24078286.82"/>
    <n v="3666689.2099999972"/>
    <n v="27744976.029999997"/>
    <n v="-24129519.130000003"/>
    <n v="3615456.8999999948"/>
    <n v="27744976.029999997"/>
    <n v="-24180510.880000003"/>
    <n v="3564465.1499999948"/>
    <n v="27841464.580000002"/>
    <n v="-24196346.710000001"/>
    <n v="3645117.870000001"/>
    <n v="27816464.580000002"/>
    <n v="-24223127.18"/>
    <n v="3593337.4000000022"/>
    <n v="27816464.580000002"/>
    <n v="-24274907.950000003"/>
    <n v="3541556.629999999"/>
    <n v="28565149.419999998"/>
    <n v="-23916171.470000003"/>
    <n v="4648977.9499999955"/>
  </r>
  <r>
    <s v="E316"/>
    <s v="Electric"/>
    <x v="1"/>
    <n v="8156589.9099999992"/>
    <n v="-7190564.46"/>
    <n v="966025.44999999925"/>
    <n v="8156589.9099999992"/>
    <n v="-7208103.6100000003"/>
    <n v="948486.29999999888"/>
    <n v="8156589.9099999992"/>
    <n v="-7225642.7599999998"/>
    <n v="930947.14999999944"/>
    <n v="8156589.9099999992"/>
    <n v="-7243181.9500000002"/>
    <n v="913407.95999999903"/>
    <n v="8156589.9099999992"/>
    <n v="-7260721.1399999997"/>
    <n v="895868.76999999955"/>
    <n v="8156589.9099999992"/>
    <n v="-7278260.3499999996"/>
    <n v="878329.55999999959"/>
    <n v="8156589.9099999992"/>
    <n v="-7295799.54"/>
    <n v="860790.36999999918"/>
    <n v="8156589.9099999992"/>
    <n v="-7313338.7599999998"/>
    <n v="843251.14999999944"/>
    <n v="8156589.9099999992"/>
    <n v="-7330877.9399999995"/>
    <n v="825711.96999999974"/>
    <n v="8261831.2800000003"/>
    <n v="-7350476.5199999996"/>
    <n v="911354.76000000071"/>
    <n v="8211831.2800000003"/>
    <n v="-7327442.4799999995"/>
    <n v="884388.80000000075"/>
    <n v="8211831.2800000003"/>
    <n v="-7343783.3999999994"/>
    <n v="868047.88000000082"/>
    <n v="8169632.919999999"/>
    <n v="-7321447.7799999993"/>
    <n v="848185.13999999966"/>
  </r>
  <r>
    <s v="E330"/>
    <s v="Electric"/>
    <x v="1"/>
    <n v="1578200.75"/>
    <n v="0"/>
    <n v="1578200.75"/>
    <n v="1578200.75"/>
    <n v="0"/>
    <n v="1578200.75"/>
    <n v="1578200.75"/>
    <n v="0"/>
    <n v="1578200.75"/>
    <n v="1578200.75"/>
    <n v="0"/>
    <n v="1578200.75"/>
    <n v="1578200.75"/>
    <n v="0"/>
    <n v="1578200.75"/>
    <n v="1578200.75"/>
    <n v="0"/>
    <n v="1578200.75"/>
    <n v="1578200.75"/>
    <n v="0"/>
    <n v="1578200.75"/>
    <n v="1578200.75"/>
    <n v="0"/>
    <n v="1578200.75"/>
    <n v="1578200.75"/>
    <n v="0"/>
    <n v="1578200.75"/>
    <n v="1578200.75"/>
    <n v="0"/>
    <n v="1578200.75"/>
    <n v="1578200.75"/>
    <n v="0"/>
    <n v="1578200.75"/>
    <n v="1578200.75"/>
    <n v="0"/>
    <n v="1578200.75"/>
    <n v="1578200.75"/>
    <n v="0"/>
    <n v="1578200.75"/>
  </r>
  <r>
    <s v="E331"/>
    <s v="Electric"/>
    <x v="1"/>
    <n v="6077493.0999999996"/>
    <n v="-2940292.0100000007"/>
    <n v="3137201.0899999989"/>
    <n v="6077493.0999999996"/>
    <n v="-2949131.2400000007"/>
    <n v="3128361.8599999989"/>
    <n v="6077493.0999999996"/>
    <n v="-2957970.4700000007"/>
    <n v="3119522.629999999"/>
    <n v="6077493.0999999996"/>
    <n v="-2966809.7000000007"/>
    <n v="3110683.399999999"/>
    <n v="6077493.0999999996"/>
    <n v="-2975648.9300000011"/>
    <n v="3101844.1699999985"/>
    <n v="6077493.0999999996"/>
    <n v="-2984488.1600000011"/>
    <n v="3093004.9399999985"/>
    <n v="6077493.0999999996"/>
    <n v="-2993327.3900000011"/>
    <n v="3084165.7099999986"/>
    <n v="6077493.0999999996"/>
    <n v="-3002166.620000001"/>
    <n v="3075326.4799999986"/>
    <n v="6077493.0999999996"/>
    <n v="-3011005.850000001"/>
    <n v="3066487.2499999986"/>
    <n v="6077493.0999999996"/>
    <n v="-3019845.080000001"/>
    <n v="3057648.0199999986"/>
    <n v="6077493.0999999996"/>
    <n v="-3028684.310000001"/>
    <n v="3048808.7899999986"/>
    <n v="6077493.0999999996"/>
    <n v="-3037523.560000001"/>
    <n v="3039969.5399999986"/>
    <n v="6077493.0999999996"/>
    <n v="-3046362.790000001"/>
    <n v="3031130.3099999987"/>
  </r>
  <r>
    <s v="E332"/>
    <s v="Electric"/>
    <x v="1"/>
    <n v="12514552.750000002"/>
    <n v="-7235055.5499999961"/>
    <n v="5279497.2000000058"/>
    <n v="12514552.750000002"/>
    <n v="-7254985.6299999962"/>
    <n v="5259567.1200000057"/>
    <n v="12514552.750000002"/>
    <n v="-7274915.7099999962"/>
    <n v="5239637.0400000056"/>
    <n v="12514552.750000002"/>
    <n v="-7294845.7899999963"/>
    <n v="5219706.9600000056"/>
    <n v="12514552.750000002"/>
    <n v="-7314775.8599999966"/>
    <n v="5199776.8900000053"/>
    <n v="12514552.750000002"/>
    <n v="-7334705.9399999967"/>
    <n v="5179846.8100000052"/>
    <n v="12514552.750000002"/>
    <n v="-7354636.0099999961"/>
    <n v="5159916.7400000058"/>
    <n v="12514552.750000002"/>
    <n v="-7374566.0899999961"/>
    <n v="5139986.6600000057"/>
    <n v="12514552.750000002"/>
    <n v="-7394496.1499999957"/>
    <n v="5120056.6000000061"/>
    <n v="12514552.750000002"/>
    <n v="-7414426.2299999958"/>
    <n v="5100126.5200000061"/>
    <n v="12514552.750000002"/>
    <n v="-7434356.2899999963"/>
    <n v="5080196.4600000056"/>
    <n v="12514552.750000002"/>
    <n v="-7454286.3699999964"/>
    <n v="5060266.3800000055"/>
    <n v="12514552.750000002"/>
    <n v="-7474216.4399999958"/>
    <n v="5040336.3100000061"/>
  </r>
  <r>
    <s v="E333"/>
    <s v="Electric"/>
    <x v="1"/>
    <n v="22096401.800000001"/>
    <n v="-10914457.709999999"/>
    <n v="11181944.090000002"/>
    <n v="22096401.800000001"/>
    <n v="-10977869.66"/>
    <n v="11118532.140000001"/>
    <n v="22096401.800000001"/>
    <n v="-11041281.6"/>
    <n v="11055120.200000001"/>
    <n v="22096401.800000001"/>
    <n v="-11104693.569999998"/>
    <n v="10991708.230000002"/>
    <n v="22096401.800000001"/>
    <n v="-11168105.489999998"/>
    <n v="10928296.310000002"/>
    <n v="22096401.800000001"/>
    <n v="-11231517.479999999"/>
    <n v="10864884.320000002"/>
    <n v="22096401.800000001"/>
    <n v="-11294929.389999999"/>
    <n v="10801472.410000002"/>
    <n v="22096401.800000001"/>
    <n v="-11358341.379999999"/>
    <n v="10738060.420000002"/>
    <n v="22096401.800000001"/>
    <n v="-11421753.289999999"/>
    <n v="10674648.510000002"/>
    <n v="22191833.180000003"/>
    <n v="-11486755.789999999"/>
    <n v="10705077.390000004"/>
    <n v="22191833.180000003"/>
    <n v="-11550565.309999999"/>
    <n v="10641267.870000005"/>
    <n v="22191833.180000003"/>
    <n v="-11614374.939999999"/>
    <n v="10577458.240000004"/>
    <n v="22191833.180000003"/>
    <n v="-11678184.489999998"/>
    <n v="10513648.690000005"/>
  </r>
  <r>
    <s v="E334"/>
    <s v="Electric"/>
    <x v="1"/>
    <n v="3308872.6"/>
    <n v="-3128773.8699999978"/>
    <n v="180098.73000000231"/>
    <n v="3308872.6"/>
    <n v="-3130153.4299999974"/>
    <n v="178719.17000000272"/>
    <n v="3308872.6"/>
    <n v="-3131532.9799999977"/>
    <n v="177339.62000000244"/>
    <n v="3308872.6"/>
    <n v="-3132912.5399999977"/>
    <n v="175960.06000000238"/>
    <n v="3308872.6"/>
    <n v="-3134292.0799999977"/>
    <n v="174580.52000000235"/>
    <n v="3308872.6"/>
    <n v="-3135671.6399999973"/>
    <n v="173200.96000000276"/>
    <n v="3308872.6"/>
    <n v="-3137051.1699999976"/>
    <n v="171821.4300000025"/>
    <n v="3308872.6"/>
    <n v="-3138414.6199999978"/>
    <n v="170457.98000000231"/>
    <n v="3308872.6"/>
    <n v="-3139778.0499999975"/>
    <n v="169094.55000000261"/>
    <n v="3308872.6"/>
    <n v="-3141141.4999999977"/>
    <n v="167731.10000000242"/>
    <n v="3308872.6"/>
    <n v="-3142504.9199999976"/>
    <n v="166367.6800000025"/>
    <n v="3308872.6"/>
    <n v="-3143868.3699999978"/>
    <n v="165004.23000000231"/>
    <n v="3308872.6"/>
    <n v="-3145231.7799999975"/>
    <n v="163640.82000000263"/>
  </r>
  <r>
    <s v="E335"/>
    <s v="Electric"/>
    <x v="1"/>
    <n v="387100.68"/>
    <n v="-351666.95999999979"/>
    <n v="35433.720000000205"/>
    <n v="387100.68"/>
    <n v="-352519.38999999978"/>
    <n v="34581.290000000212"/>
    <n v="387100.68"/>
    <n v="-353371.81999999983"/>
    <n v="33728.860000000161"/>
    <n v="387100.68"/>
    <n v="-354224.24999999983"/>
    <n v="32876.430000000168"/>
    <n v="387100.68"/>
    <n v="-355076.66999999981"/>
    <n v="32024.010000000184"/>
    <n v="387100.68"/>
    <n v="-355929.0999999998"/>
    <n v="31171.580000000191"/>
    <n v="387100.68"/>
    <n v="-356781.51999999979"/>
    <n v="30319.160000000207"/>
    <n v="387100.68"/>
    <n v="-357633.94999999978"/>
    <n v="29466.730000000214"/>
    <n v="387100.68"/>
    <n v="-358486.36999999982"/>
    <n v="28614.310000000172"/>
    <n v="387100.68"/>
    <n v="-359127.81999999977"/>
    <n v="27972.860000000219"/>
    <n v="387100.68"/>
    <n v="-359769.26999999979"/>
    <n v="27331.410000000207"/>
    <n v="387100.68"/>
    <n v="-360410.72999999981"/>
    <n v="26689.950000000186"/>
    <n v="387100.68"/>
    <n v="-361052.2199999998"/>
    <n v="26048.460000000196"/>
  </r>
  <r>
    <s v="E336"/>
    <s v="Electric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340"/>
    <s v="Electric"/>
    <x v="1"/>
    <n v="1038572.94"/>
    <n v="0"/>
    <n v="1038572.94"/>
    <n v="1038572.94"/>
    <n v="0"/>
    <n v="1038572.94"/>
    <n v="1038572.94"/>
    <n v="0"/>
    <n v="1038572.94"/>
    <n v="1038572.94"/>
    <n v="0"/>
    <n v="1038572.94"/>
    <n v="1038572.94"/>
    <n v="0"/>
    <n v="1038572.94"/>
    <n v="1038572.94"/>
    <n v="0"/>
    <n v="1038572.94"/>
    <n v="1038572.94"/>
    <n v="0"/>
    <n v="1038572.94"/>
    <n v="1038572.94"/>
    <n v="0"/>
    <n v="1038572.94"/>
    <n v="1038572.94"/>
    <n v="0"/>
    <n v="1038572.94"/>
    <n v="1038572.94"/>
    <n v="0"/>
    <n v="1038572.94"/>
    <n v="1038572.94"/>
    <n v="0"/>
    <n v="1038572.94"/>
    <n v="1038572.94"/>
    <n v="0"/>
    <n v="1038572.94"/>
    <n v="1038572.94"/>
    <n v="0"/>
    <n v="1038572.94"/>
  </r>
  <r>
    <s v="E341"/>
    <s v="Electric"/>
    <x v="1"/>
    <n v="25161662.379999999"/>
    <n v="-19497935.059999995"/>
    <n v="5663727.320000004"/>
    <n v="25161662.379999999"/>
    <n v="-19575705.889999997"/>
    <n v="5585956.4900000021"/>
    <n v="25161662.379999999"/>
    <n v="-19653476.729999997"/>
    <n v="5508185.6500000022"/>
    <n v="25161662.379999999"/>
    <n v="-19731247.559999995"/>
    <n v="5430414.820000004"/>
    <n v="25161662.379999999"/>
    <n v="-19809018.409999996"/>
    <n v="5352643.9700000025"/>
    <n v="25161662.379999999"/>
    <n v="-19886789.239999998"/>
    <n v="5274873.1400000006"/>
    <n v="25161662.379999999"/>
    <n v="-19964560.089999996"/>
    <n v="5197102.2900000028"/>
    <n v="25161662.379999999"/>
    <n v="-20042330.919999998"/>
    <n v="5119331.4600000009"/>
    <n v="25161662.379999999"/>
    <n v="-20120101.779999997"/>
    <n v="5041560.6000000015"/>
    <n v="25161662.379999999"/>
    <n v="-20197872.609999996"/>
    <n v="4963789.7700000033"/>
    <n v="25161662.379999999"/>
    <n v="-20275643.469999999"/>
    <n v="4886018.91"/>
    <n v="28806184.91"/>
    <n v="-20459712.869999997"/>
    <n v="8346472.0400000028"/>
    <n v="28806184.91"/>
    <n v="-20552669.239999998"/>
    <n v="8253515.6700000018"/>
  </r>
  <r>
    <s v="E342"/>
    <s v="Electric"/>
    <x v="1"/>
    <n v="8804404.7400000002"/>
    <n v="-704796.82"/>
    <n v="8099607.9199999999"/>
    <n v="8804404.7400000002"/>
    <n v="-734199.73"/>
    <n v="8070205.0099999998"/>
    <n v="8804404.7400000002"/>
    <n v="-763602.52"/>
    <n v="8040802.2200000007"/>
    <n v="8804404.7400000002"/>
    <n v="-793005.42"/>
    <n v="8011399.3200000003"/>
    <n v="8804404.7400000002"/>
    <n v="-822408.21000000008"/>
    <n v="7981996.5300000003"/>
    <n v="8804404.7400000002"/>
    <n v="-851811.1100000001"/>
    <n v="7952593.6299999999"/>
    <n v="8804404.7400000002"/>
    <n v="-881213.91000000015"/>
    <n v="7923190.8300000001"/>
    <n v="8804404.7400000002"/>
    <n v="-910616.99000000011"/>
    <n v="7893787.75"/>
    <n v="8804404.7400000002"/>
    <n v="-940019.80000000016"/>
    <n v="7864384.9400000004"/>
    <n v="8804404.7400000002"/>
    <n v="-969422.87000000011"/>
    <n v="7834981.8700000001"/>
    <n v="8804404.7400000002"/>
    <n v="-998825.68000000017"/>
    <n v="7805579.0600000005"/>
    <n v="8804404.7400000002"/>
    <n v="-1028228.7500000001"/>
    <n v="7776175.9900000002"/>
    <n v="8804404.7400000002"/>
    <n v="-1057631.5600000005"/>
    <n v="7746773.1799999997"/>
  </r>
  <r>
    <s v="E343"/>
    <s v="Electric"/>
    <x v="1"/>
    <n v="353074868.56"/>
    <n v="-237609800.36999997"/>
    <n v="115465068.19000003"/>
    <n v="353074868.56"/>
    <n v="-238841534.70999998"/>
    <n v="114233333.85000002"/>
    <n v="353074868.56"/>
    <n v="-240073269.03999996"/>
    <n v="113001599.52000004"/>
    <n v="353074868.56"/>
    <n v="-241305003.63"/>
    <n v="111769864.93000001"/>
    <n v="353074868.56"/>
    <n v="-242536738.07999998"/>
    <n v="110538130.48000002"/>
    <n v="353074868.56"/>
    <n v="-243768472.72999999"/>
    <n v="109306395.83000001"/>
    <n v="353074868.56"/>
    <n v="-245000207.23999998"/>
    <n v="108074661.32000002"/>
    <n v="353074868.56"/>
    <n v="-246231941.89999998"/>
    <n v="106842926.66000003"/>
    <n v="353074868.56"/>
    <n v="-247463676.77999997"/>
    <n v="105611191.78000003"/>
    <n v="353074868.56"/>
    <n v="-248695411.49999997"/>
    <n v="104379457.06000003"/>
    <n v="353074868.56"/>
    <n v="-249927146.38"/>
    <n v="103147722.18000001"/>
    <n v="353074868.56"/>
    <n v="-251027474.56999999"/>
    <n v="102047393.99000001"/>
    <n v="389964603.63999999"/>
    <n v="-258755885.01999998"/>
    <n v="131208718.62"/>
  </r>
  <r>
    <s v="E344"/>
    <s v="Electric"/>
    <x v="1"/>
    <n v="114318093.3"/>
    <n v="-19404838.870000001"/>
    <n v="94913254.429999992"/>
    <n v="114318093.3"/>
    <n v="-19858240.399999999"/>
    <n v="94459852.900000006"/>
    <n v="114318093.3"/>
    <n v="-20311641.57"/>
    <n v="94006451.729999989"/>
    <n v="114318093.3"/>
    <n v="-20765042.870000001"/>
    <n v="93553050.429999992"/>
    <n v="114318093.3"/>
    <n v="-21218444.020000003"/>
    <n v="93099649.280000001"/>
    <n v="114318093.3"/>
    <n v="-21671845.350000001"/>
    <n v="92646247.949999988"/>
    <n v="114318093.3"/>
    <n v="-22125246.719999999"/>
    <n v="92192846.579999998"/>
    <n v="114318093.3"/>
    <n v="-22578648.039999999"/>
    <n v="91739445.25999999"/>
    <n v="114318093.3"/>
    <n v="-23032049.100000001"/>
    <n v="91286044.199999988"/>
    <n v="114439453.09"/>
    <n v="-23487473.280000001"/>
    <n v="90951979.810000002"/>
    <n v="114439453.09"/>
    <n v="-23941885.640000001"/>
    <n v="90497567.450000003"/>
    <n v="114439453.09"/>
    <n v="-24396298.460000001"/>
    <n v="90043154.629999995"/>
    <n v="115204715.95"/>
    <n v="-24871196.670000002"/>
    <n v="90333519.280000001"/>
  </r>
  <r>
    <s v="E345"/>
    <s v="Electric"/>
    <x v="1"/>
    <n v="12661492.559999999"/>
    <n v="-1549258.0699999987"/>
    <n v="11112234.49"/>
    <n v="12661492.559999999"/>
    <n v="-1600856.6099999987"/>
    <n v="11060635.949999999"/>
    <n v="12661492.559999999"/>
    <n v="-1652455.5099999986"/>
    <n v="11009037.050000001"/>
    <n v="12661492.559999999"/>
    <n v="-1704054.0399999986"/>
    <n v="10957438.52"/>
    <n v="12661492.559999999"/>
    <n v="-1755653.2399999986"/>
    <n v="10905839.32"/>
    <n v="12661492.559999999"/>
    <n v="-1807251.7699999986"/>
    <n v="10854240.789999999"/>
    <n v="12661492.559999999"/>
    <n v="-1858850.9699999986"/>
    <n v="10802641.59"/>
    <n v="12661492.559999999"/>
    <n v="-1910449.4999999986"/>
    <n v="10751043.060000001"/>
    <n v="12661492.559999999"/>
    <n v="-1962048.7299999986"/>
    <n v="10699443.83"/>
    <n v="12661492.559999999"/>
    <n v="-2013647.2499999986"/>
    <n v="10647845.310000001"/>
    <n v="12641492.559999999"/>
    <n v="-2046413.1399999985"/>
    <n v="10595079.42"/>
    <n v="12641492.559999999"/>
    <n v="-2097928.3299999987"/>
    <n v="10543564.23"/>
    <n v="13595680.889999999"/>
    <n v="-2197153.6600000006"/>
    <n v="11398527.229999999"/>
  </r>
  <r>
    <s v="E346"/>
    <s v="Electric"/>
    <x v="1"/>
    <n v="24003366.319999997"/>
    <n v="-2016689.7499999995"/>
    <n v="21986676.569999997"/>
    <n v="24003366.319999997"/>
    <n v="-2117650.2999999998"/>
    <n v="21885716.019999996"/>
    <n v="24003366.319999997"/>
    <n v="-2218610.8600000003"/>
    <n v="21784755.459999997"/>
    <n v="24003366.319999997"/>
    <n v="-2319571.4200000004"/>
    <n v="21683794.899999995"/>
    <n v="24003366.319999997"/>
    <n v="-2420531.9900000002"/>
    <n v="21582834.329999998"/>
    <n v="24003366.319999997"/>
    <n v="-2521492.4400000004"/>
    <n v="21481873.879999995"/>
    <n v="24003366.319999997"/>
    <n v="-2622453.2400000002"/>
    <n v="21380913.079999998"/>
    <n v="24003366.319999997"/>
    <n v="-2723413.6900000004"/>
    <n v="21279952.629999995"/>
    <n v="24003366.319999997"/>
    <n v="-2824374.4400000004"/>
    <n v="21178991.879999995"/>
    <n v="24059045.189999998"/>
    <n v="-2927809.5100000002"/>
    <n v="21131235.679999996"/>
    <n v="24059045.189999998"/>
    <n v="-3029079.58"/>
    <n v="21029965.609999999"/>
    <n v="24059045.189999998"/>
    <n v="-3130349.34"/>
    <n v="20928695.849999998"/>
    <n v="23940746.949999999"/>
    <n v="-3127376.27"/>
    <n v="20813370.68"/>
  </r>
  <r>
    <s v="E350"/>
    <s v="Electric"/>
    <x v="2"/>
    <n v="15089020.779999999"/>
    <n v="0"/>
    <n v="15089020.779999999"/>
    <n v="15089020.779999999"/>
    <n v="0"/>
    <n v="15089020.779999999"/>
    <n v="15089020.779999999"/>
    <n v="0"/>
    <n v="15089020.779999999"/>
    <n v="15089020.779999999"/>
    <n v="0"/>
    <n v="15089020.779999999"/>
    <n v="15089020.779999999"/>
    <n v="0"/>
    <n v="15089020.779999999"/>
    <n v="15089020.779999999"/>
    <n v="0"/>
    <n v="15089020.779999999"/>
    <n v="15089020.779999999"/>
    <n v="0"/>
    <n v="15089020.779999999"/>
    <n v="15089020.779999999"/>
    <n v="0"/>
    <n v="15089020.779999999"/>
    <n v="15089020.779999999"/>
    <n v="0"/>
    <n v="15089020.779999999"/>
    <n v="15089020.779999999"/>
    <n v="0"/>
    <n v="15089020.779999999"/>
    <n v="15089020.779999999"/>
    <n v="0"/>
    <n v="15089020.779999999"/>
    <n v="15089020.779999999"/>
    <n v="0"/>
    <n v="15089020.779999999"/>
    <n v="15089020.779999999"/>
    <n v="0"/>
    <n v="15089020.779999999"/>
  </r>
  <r>
    <s v="E352"/>
    <s v="Electric"/>
    <x v="2"/>
    <n v="36418231.189999998"/>
    <n v="-4200095.72"/>
    <n v="32218135.469999999"/>
    <n v="36418231.189999998"/>
    <n v="-4269594.74"/>
    <n v="32148636.449999996"/>
    <n v="36418231.189999998"/>
    <n v="-4339093.75"/>
    <n v="32079137.439999998"/>
    <n v="36418231.189999998"/>
    <n v="-4408592.75"/>
    <n v="32009638.439999998"/>
    <n v="36418231.189999998"/>
    <n v="-4478091.78"/>
    <n v="31940139.409999996"/>
    <n v="36418231.189999998"/>
    <n v="-4547590.8000000007"/>
    <n v="31870640.389999997"/>
    <n v="36418231.189999998"/>
    <n v="-4617089.8500000006"/>
    <n v="31801141.339999996"/>
    <n v="36418231.189999998"/>
    <n v="-4686588.9000000013"/>
    <n v="31731642.289999995"/>
    <n v="36418231.189999998"/>
    <n v="-4756087.9500000011"/>
    <n v="31662143.239999995"/>
    <n v="36418231.189999998"/>
    <n v="-4825586.9800000014"/>
    <n v="31592644.209999997"/>
    <n v="36418231.189999998"/>
    <n v="-4895086.040000001"/>
    <n v="31523145.149999999"/>
    <n v="36418231.189999998"/>
    <n v="-4964585.080000001"/>
    <n v="31453646.109999996"/>
    <n v="122986122.70999998"/>
    <n v="-5161889.5700000012"/>
    <n v="117824233.13999997"/>
  </r>
  <r>
    <s v="E353"/>
    <s v="Electric"/>
    <x v="2"/>
    <n v="129562763.89"/>
    <n v="-59109713.639999993"/>
    <n v="70453050.25"/>
    <n v="129562763.89"/>
    <n v="-59414192.36999999"/>
    <n v="70148571.520000011"/>
    <n v="129562763.89"/>
    <n v="-59718671.209999993"/>
    <n v="69844092.680000007"/>
    <n v="129562763.89"/>
    <n v="-60023149.909999989"/>
    <n v="69539613.980000019"/>
    <n v="129562763.89"/>
    <n v="-60327628.749999993"/>
    <n v="69235135.140000015"/>
    <n v="129562763.89"/>
    <n v="-60632107.409999989"/>
    <n v="68930656.480000019"/>
    <n v="129562763.89"/>
    <n v="-60936586.25999999"/>
    <n v="68626177.63000001"/>
    <n v="129562763.89"/>
    <n v="-61232197.129999988"/>
    <n v="68330566.76000002"/>
    <n v="129562763.89"/>
    <n v="-61527808.409999989"/>
    <n v="68034955.480000019"/>
    <n v="129562763.89"/>
    <n v="-61823419.339999989"/>
    <n v="67739344.550000012"/>
    <n v="129562763.89"/>
    <n v="-62119030.609999992"/>
    <n v="67443733.280000001"/>
    <n v="129562763.89"/>
    <n v="-62414641.539999992"/>
    <n v="67148122.350000009"/>
    <n v="136246430.38999999"/>
    <n v="-62865031.629999988"/>
    <n v="73381398.75999999"/>
  </r>
  <r>
    <s v="E354"/>
    <s v="Electric"/>
    <x v="2"/>
    <n v="5374260.5599999996"/>
    <n v="-3520882.51"/>
    <n v="1853378.0499999998"/>
    <n v="5374260.5599999996"/>
    <n v="-3541957.11"/>
    <n v="1832303.4499999997"/>
    <n v="5374260.5599999996"/>
    <n v="-3563031.6999999997"/>
    <n v="1811228.8599999999"/>
    <n v="5374260.5599999996"/>
    <n v="-3584106.3299999996"/>
    <n v="1790154.23"/>
    <n v="5374260.5599999996"/>
    <n v="-3605180.94"/>
    <n v="1769079.6199999996"/>
    <n v="5374260.5599999996"/>
    <n v="-3626255.5599999996"/>
    <n v="1748005"/>
    <n v="5374260.5599999996"/>
    <n v="-3647330.1799999997"/>
    <n v="1726930.38"/>
    <n v="5374260.5599999996"/>
    <n v="-3668404.8299999996"/>
    <n v="1705855.73"/>
    <n v="5374260.5599999996"/>
    <n v="-3689479.4499999997"/>
    <n v="1684781.1099999999"/>
    <n v="5374260.5599999996"/>
    <n v="-3710554.11"/>
    <n v="1663706.4499999997"/>
    <n v="5374260.5599999996"/>
    <n v="-3731628.73"/>
    <n v="1642631.8299999996"/>
    <n v="5374260.5599999996"/>
    <n v="-3752703.4"/>
    <n v="1621557.1599999997"/>
    <n v="6148547.2999999998"/>
    <n v="-3773778.02"/>
    <n v="2374769.2799999998"/>
  </r>
  <r>
    <s v="E355"/>
    <s v="Electric"/>
    <x v="2"/>
    <n v="26156420.02"/>
    <n v="-21475275.949999996"/>
    <n v="4681144.070000004"/>
    <n v="26156420.02"/>
    <n v="-21499334.949999996"/>
    <n v="4657085.070000004"/>
    <n v="26156420.02"/>
    <n v="-21523393.959999997"/>
    <n v="4633026.0600000024"/>
    <n v="26156420.02"/>
    <n v="-21547452.959999997"/>
    <n v="4608967.0600000024"/>
    <n v="26156420.02"/>
    <n v="-21571511.989999995"/>
    <n v="4584908.0300000049"/>
    <n v="26156420.02"/>
    <n v="-21595570.989999995"/>
    <n v="4560849.0300000049"/>
    <n v="26156420.02"/>
    <n v="-21619630.029999997"/>
    <n v="4536789.9900000021"/>
    <n v="26156420.02"/>
    <n v="-21643689.019999996"/>
    <n v="4512731.0000000037"/>
    <n v="26156420.02"/>
    <n v="-21667748.059999995"/>
    <n v="4488671.9600000046"/>
    <n v="26156420.02"/>
    <n v="-21691807.039999995"/>
    <n v="4464612.9800000042"/>
    <n v="26156420.02"/>
    <n v="-21715866.069999997"/>
    <n v="4440553.950000003"/>
    <n v="26156420.02"/>
    <n v="-21739925.039999995"/>
    <n v="4416494.9800000042"/>
    <n v="26444675.719999999"/>
    <n v="-21794602.049999997"/>
    <n v="4650073.6700000018"/>
  </r>
  <r>
    <s v="E356"/>
    <s v="Electric"/>
    <x v="2"/>
    <n v="11328775.960000001"/>
    <n v="-6898131.5199999977"/>
    <n v="4430644.4400000032"/>
    <n v="11328775.960000001"/>
    <n v="-6920669.3099999977"/>
    <n v="4408106.6500000032"/>
    <n v="11328775.960000001"/>
    <n v="-6943207.0999999978"/>
    <n v="4385568.8600000031"/>
    <n v="11328775.960000001"/>
    <n v="-6965744.8899999978"/>
    <n v="4363031.0700000031"/>
    <n v="11328775.960000001"/>
    <n v="-6988282.6599999983"/>
    <n v="4340493.3000000026"/>
    <n v="11328775.960000001"/>
    <n v="-7010820.4699999979"/>
    <n v="4317955.490000003"/>
    <n v="11328775.960000001"/>
    <n v="-7033358.2299999977"/>
    <n v="4295417.7300000032"/>
    <n v="11328775.960000001"/>
    <n v="-7055863.299999998"/>
    <n v="4272912.6600000029"/>
    <n v="11328775.960000001"/>
    <n v="-7078368.3299999982"/>
    <n v="4250407.6300000027"/>
    <n v="11328775.960000001"/>
    <n v="-7100873.4099999983"/>
    <n v="4227902.5500000026"/>
    <n v="11328775.960000001"/>
    <n v="-7123378.4499999983"/>
    <n v="4205397.5100000026"/>
    <n v="11328775.960000001"/>
    <n v="-7145883.5399999982"/>
    <n v="4182892.4200000027"/>
    <n v="11371768.260000002"/>
    <n v="-7168388.589999998"/>
    <n v="4203379.6700000037"/>
  </r>
  <r>
    <s v="E357"/>
    <s v="Electric"/>
    <x v="2"/>
    <n v="22764649.190000001"/>
    <n v="-14871840"/>
    <n v="7892809.1900000013"/>
    <n v="22764649.190000001"/>
    <n v="-14937377.399999999"/>
    <n v="7827271.7900000028"/>
    <n v="22764649.190000001"/>
    <n v="-15002914.799999999"/>
    <n v="7761734.3900000025"/>
    <n v="22764649.190000001"/>
    <n v="-15068452.199999999"/>
    <n v="7696196.9900000021"/>
    <n v="22764649.190000001"/>
    <n v="-15133989.59"/>
    <n v="7630659.6000000015"/>
    <n v="22764649.190000001"/>
    <n v="-15199527"/>
    <n v="7565122.1900000013"/>
    <n v="22764649.190000001"/>
    <n v="-15265064.399999999"/>
    <n v="7499584.7900000028"/>
    <n v="22764649.190000001"/>
    <n v="-15330601.809999999"/>
    <n v="7434047.3800000027"/>
    <n v="22764649.190000001"/>
    <n v="-15396139.219999999"/>
    <n v="7368509.9700000025"/>
    <n v="22764649.190000001"/>
    <n v="-15461676.619999999"/>
    <n v="7302972.5700000022"/>
    <n v="22764649.190000001"/>
    <n v="-15527214.049999999"/>
    <n v="7237435.1400000025"/>
    <n v="22764649.190000001"/>
    <n v="-15592751.459999999"/>
    <n v="7171897.7300000023"/>
    <n v="22764649.190000001"/>
    <n v="-15658288.899999999"/>
    <n v="7106360.2900000028"/>
  </r>
  <r>
    <s v="E358"/>
    <s v="Electric"/>
    <x v="2"/>
    <n v="12268816.18"/>
    <n v="-10554218.349999998"/>
    <n v="1714597.8300000019"/>
    <n v="12268816.18"/>
    <n v="-10582567.399999997"/>
    <n v="1686248.7800000031"/>
    <n v="12268816.18"/>
    <n v="-10610916.439999998"/>
    <n v="1657899.7400000021"/>
    <n v="12268816.18"/>
    <n v="-10639265.509999998"/>
    <n v="1629550.6700000018"/>
    <n v="12268816.18"/>
    <n v="-10667614.569999997"/>
    <n v="1601201.6100000031"/>
    <n v="12268816.18"/>
    <n v="-10695963.619999997"/>
    <n v="1572852.5600000024"/>
    <n v="12268816.18"/>
    <n v="-10724312.679999998"/>
    <n v="1544503.5000000019"/>
    <n v="12268816.18"/>
    <n v="-10752661.729999997"/>
    <n v="1516154.450000003"/>
    <n v="12268816.18"/>
    <n v="-10781010.779999997"/>
    <n v="1487805.4000000022"/>
    <n v="12268816.18"/>
    <n v="-10809359.839999998"/>
    <n v="1459456.3400000017"/>
    <n v="12268816.18"/>
    <n v="-10837708.909999998"/>
    <n v="1431107.2700000014"/>
    <n v="12268816.18"/>
    <n v="-10866057.979999997"/>
    <n v="1402758.200000003"/>
    <n v="12268816.18"/>
    <n v="-10894407.049999997"/>
    <n v="1374409.1300000027"/>
  </r>
  <r>
    <s v="E359"/>
    <s v="Electric"/>
    <x v="2"/>
    <n v="23857.22"/>
    <n v="-23456.719999999979"/>
    <n v="400.50000000002183"/>
    <n v="23857.22"/>
    <n v="-23466.339999999978"/>
    <n v="390.88000000002285"/>
    <n v="23857.22"/>
    <n v="-23475.959999999977"/>
    <n v="381.26000000002387"/>
    <n v="23857.22"/>
    <n v="-23485.57999999998"/>
    <n v="371.64000000002125"/>
    <n v="23857.22"/>
    <n v="-23495.199999999979"/>
    <n v="362.02000000002226"/>
    <n v="23857.22"/>
    <n v="-23504.819999999978"/>
    <n v="352.40000000002328"/>
    <n v="23857.22"/>
    <n v="-23514.429999999978"/>
    <n v="342.7900000000227"/>
    <n v="23857.22"/>
    <n v="-23523.939999999977"/>
    <n v="333.2800000000243"/>
    <n v="23857.22"/>
    <n v="-23533.449999999979"/>
    <n v="323.77000000002226"/>
    <n v="23857.22"/>
    <n v="-23542.959999999977"/>
    <n v="314.26000000002387"/>
    <n v="23857.22"/>
    <n v="-23552.459999999977"/>
    <n v="304.76000000002387"/>
    <n v="23857.22"/>
    <n v="-23561.969999999979"/>
    <n v="295.25000000002183"/>
    <n v="23857.22"/>
    <n v="-23571.479999999978"/>
    <n v="285.74000000002343"/>
  </r>
  <r>
    <s v="E360"/>
    <s v="Electric"/>
    <x v="3"/>
    <n v="3428458.71"/>
    <n v="0"/>
    <n v="3428458.71"/>
    <n v="3428458.71"/>
    <n v="0"/>
    <n v="3428458.71"/>
    <n v="3428458.71"/>
    <n v="0"/>
    <n v="3428458.71"/>
    <n v="3428458.71"/>
    <n v="0"/>
    <n v="3428458.71"/>
    <n v="3428458.71"/>
    <n v="0"/>
    <n v="3428458.71"/>
    <n v="3428458.71"/>
    <n v="0"/>
    <n v="3428458.71"/>
    <n v="3428458.71"/>
    <n v="0"/>
    <n v="3428458.71"/>
    <n v="3428458.71"/>
    <n v="0"/>
    <n v="3428458.71"/>
    <n v="3428458.71"/>
    <n v="0"/>
    <n v="3428458.71"/>
    <n v="3428458.71"/>
    <n v="0"/>
    <n v="3428458.71"/>
    <n v="3428458.71"/>
    <n v="0"/>
    <n v="3428458.71"/>
    <n v="3428458.71"/>
    <n v="0"/>
    <n v="3428458.71"/>
    <n v="3428458.71"/>
    <n v="0"/>
    <n v="3428458.71"/>
  </r>
  <r>
    <s v="E361"/>
    <s v="Electric"/>
    <x v="3"/>
    <n v="30802959.599999998"/>
    <n v="-18019406.84"/>
    <n v="12783552.759999998"/>
    <n v="30802959.599999998"/>
    <n v="-18077499.390000001"/>
    <n v="12725460.209999997"/>
    <n v="30802959.599999998"/>
    <n v="-18135591.93"/>
    <n v="12667367.669999998"/>
    <n v="30802959.599999998"/>
    <n v="-18193684.48"/>
    <n v="12609275.119999997"/>
    <n v="30802959.599999998"/>
    <n v="-18251777.030000001"/>
    <n v="12551182.569999997"/>
    <n v="30802959.599999998"/>
    <n v="-18309869.580000002"/>
    <n v="12493090.019999996"/>
    <n v="30802959.599999998"/>
    <n v="-18367962.129999999"/>
    <n v="12434997.469999999"/>
    <n v="30802959.599999998"/>
    <n v="-18425331.629999999"/>
    <n v="12377627.969999999"/>
    <n v="30802959.599999998"/>
    <n v="-18482701.100000001"/>
    <n v="12320258.499999996"/>
    <n v="30802959.599999998"/>
    <n v="-18540070.600000001"/>
    <n v="12262888.999999996"/>
    <n v="30802959.599999998"/>
    <n v="-18597440.07"/>
    <n v="12205519.529999997"/>
    <n v="30802959.599999998"/>
    <n v="-18654809.580000002"/>
    <n v="12148150.019999996"/>
    <n v="30805501.459999997"/>
    <n v="-18712179.060000002"/>
    <n v="12093322.399999995"/>
  </r>
  <r>
    <s v="E362"/>
    <s v="Electric"/>
    <x v="3"/>
    <n v="154787912.92000002"/>
    <n v="-89298338.710000023"/>
    <n v="65489574.209999993"/>
    <n v="154787912.92000002"/>
    <n v="-89702731.930000022"/>
    <n v="65085180.989999995"/>
    <n v="154787912.92000002"/>
    <n v="-90107125.14000003"/>
    <n v="64680787.779999986"/>
    <n v="154787912.92000002"/>
    <n v="-90511518.420000017"/>
    <n v="64276394.5"/>
    <n v="154787912.92000002"/>
    <n v="-90915911.610000029"/>
    <n v="63872001.309999987"/>
    <n v="154787912.92000002"/>
    <n v="-91320304.920000017"/>
    <n v="63467608"/>
    <n v="154787912.92000002"/>
    <n v="-91724698.190000027"/>
    <n v="63063214.729999989"/>
    <n v="154787912.92000002"/>
    <n v="-92120963.580000028"/>
    <n v="62666949.339999989"/>
    <n v="154787912.92000002"/>
    <n v="-92517228.940000027"/>
    <n v="62270683.979999989"/>
    <n v="154787912.92000002"/>
    <n v="-92913494.25000003"/>
    <n v="61874418.669999987"/>
    <n v="154787912.92000002"/>
    <n v="-93309759.590000018"/>
    <n v="61478153.329999998"/>
    <n v="154787912.92000002"/>
    <n v="-93706024.930000022"/>
    <n v="61081887.989999995"/>
    <n v="156646049.97999999"/>
    <n v="-94102290.210000023"/>
    <n v="62543759.769999966"/>
  </r>
  <r>
    <s v="E363"/>
    <s v="Electric"/>
    <x v="3"/>
    <n v="2102488.11"/>
    <n v="-1250876.9799999995"/>
    <n v="851611.13000000035"/>
    <n v="2102488.11"/>
    <n v="-1254985.3899999994"/>
    <n v="847502.72000000044"/>
    <n v="2102488.11"/>
    <n v="-1259093.7999999993"/>
    <n v="843394.31000000052"/>
    <n v="2102488.11"/>
    <n v="-1263202.2099999995"/>
    <n v="839285.90000000037"/>
    <n v="2102488.11"/>
    <n v="-1267310.6299999994"/>
    <n v="835177.48000000045"/>
    <n v="2102488.11"/>
    <n v="-1271419.0499999993"/>
    <n v="831069.06000000052"/>
    <n v="2102488.11"/>
    <n v="-1275527.4799999995"/>
    <n v="826960.63000000035"/>
    <n v="2102488.11"/>
    <n v="-1279635.8999999994"/>
    <n v="822852.21000000043"/>
    <n v="2102488.11"/>
    <n v="-1283744.3299999994"/>
    <n v="818743.78000000049"/>
    <n v="2102488.11"/>
    <n v="-1287852.7599999995"/>
    <n v="814635.35000000033"/>
    <n v="2102488.11"/>
    <n v="-1291961.1799999995"/>
    <n v="810526.9300000004"/>
    <n v="2102488.11"/>
    <n v="-1296069.6099999994"/>
    <n v="806418.50000000047"/>
    <n v="2222867.44"/>
    <n v="-1300178.0499999996"/>
    <n v="922689.39000000036"/>
  </r>
  <r>
    <s v="E364"/>
    <s v="Electric"/>
    <x v="3"/>
    <n v="94638276.829999998"/>
    <n v="-68835607.650000021"/>
    <n v="25802669.179999977"/>
    <n v="94638276.829999998"/>
    <n v="-69035436.230000004"/>
    <n v="25602840.599999994"/>
    <n v="94638276.829999998"/>
    <n v="-69235264.840000004"/>
    <n v="25403011.989999995"/>
    <n v="94638276.829999998"/>
    <n v="-69435093.409999996"/>
    <n v="25203183.420000002"/>
    <n v="94638276.829999998"/>
    <n v="-69634921.960000008"/>
    <n v="25003354.86999999"/>
    <n v="94638276.829999998"/>
    <n v="-69834750.520000011"/>
    <n v="24803526.309999987"/>
    <n v="94638276.829999998"/>
    <n v="-70034579"/>
    <n v="24603697.829999998"/>
    <n v="94638276.829999998"/>
    <n v="-70234407.530000001"/>
    <n v="24403869.299999997"/>
    <n v="94638276.829999998"/>
    <n v="-70434236.030000016"/>
    <n v="24204040.799999982"/>
    <n v="94638276.829999998"/>
    <n v="-70634064.460000008"/>
    <n v="24004212.36999999"/>
    <n v="94638276.829999998"/>
    <n v="-70833892.980000004"/>
    <n v="23804383.849999994"/>
    <n v="94638276.829999998"/>
    <n v="-71033721.429999992"/>
    <n v="23604555.400000006"/>
    <n v="97020595.609999999"/>
    <n v="-71233549.909999982"/>
    <n v="25787045.700000018"/>
  </r>
  <r>
    <s v="E365"/>
    <s v="Electric"/>
    <x v="3"/>
    <n v="57085790.529999994"/>
    <n v="-38390083.170000002"/>
    <n v="18695707.359999992"/>
    <n v="57085790.529999994"/>
    <n v="-38481134.25"/>
    <n v="18604656.279999994"/>
    <n v="57085790.529999994"/>
    <n v="-38572185.289999999"/>
    <n v="18513605.239999995"/>
    <n v="57085790.529999994"/>
    <n v="-38663236.32"/>
    <n v="18422554.209999993"/>
    <n v="57085790.529999994"/>
    <n v="-38754287.359999999"/>
    <n v="18331503.169999994"/>
    <n v="57085790.529999994"/>
    <n v="-38845338.490000002"/>
    <n v="18240452.039999992"/>
    <n v="57085790.529999994"/>
    <n v="-38936389.670000002"/>
    <n v="18149400.859999992"/>
    <n v="57085790.529999994"/>
    <n v="-39022492.170000002"/>
    <n v="18063298.359999992"/>
    <n v="57085790.529999994"/>
    <n v="-39108594.710000001"/>
    <n v="17977195.819999993"/>
    <n v="57092839.449999988"/>
    <n v="-39194855.770000003"/>
    <n v="17897983.679999985"/>
    <n v="57092839.449999988"/>
    <n v="-39280975.980000004"/>
    <n v="17811863.469999984"/>
    <n v="57092839.449999988"/>
    <n v="-39367096.120000005"/>
    <n v="17725743.329999983"/>
    <n v="58084135.459999993"/>
    <n v="-39453216.420000002"/>
    <n v="18630919.039999992"/>
  </r>
  <r>
    <s v="E366"/>
    <s v="Electric"/>
    <x v="3"/>
    <n v="317880498.25"/>
    <n v="-186135270.72999993"/>
    <n v="131745227.52000007"/>
    <n v="317880498.25"/>
    <n v="-186850134.18999994"/>
    <n v="131030364.06000006"/>
    <n v="317880498.25"/>
    <n v="-187564997.56999993"/>
    <n v="130315500.68000007"/>
    <n v="317880498.25"/>
    <n v="-188279860.98999995"/>
    <n v="129600637.26000005"/>
    <n v="317880498.25"/>
    <n v="-188994724.40999994"/>
    <n v="128885773.84000006"/>
    <n v="317880498.25"/>
    <n v="-189709587.76999995"/>
    <n v="128170910.48000005"/>
    <n v="317880498.25"/>
    <n v="-190424451.30999994"/>
    <n v="127456046.94000006"/>
    <n v="317880498.25"/>
    <n v="-191123118.03999993"/>
    <n v="126757380.21000007"/>
    <n v="317880498.25"/>
    <n v="-191821784.89999995"/>
    <n v="126058713.35000005"/>
    <n v="318411227.94999999"/>
    <n v="-192534052.14999995"/>
    <n v="125877175.80000004"/>
    <n v="318411227.94999999"/>
    <n v="-193234230.23999995"/>
    <n v="125176997.71000004"/>
    <n v="318411227.94999999"/>
    <n v="-193934408.14999995"/>
    <n v="124476819.80000004"/>
    <n v="335113264.17000002"/>
    <n v="-194688815.26999995"/>
    <n v="140424448.90000007"/>
  </r>
  <r>
    <s v="E367"/>
    <s v="Electric"/>
    <x v="3"/>
    <n v="336150823.79000002"/>
    <n v="-171735735.14999992"/>
    <n v="164415088.6400001"/>
    <n v="336150823.79000002"/>
    <n v="-172522158.32999992"/>
    <n v="163628665.4600001"/>
    <n v="336150823.79000002"/>
    <n v="-173308581.49999991"/>
    <n v="162842242.29000011"/>
    <n v="336150823.79000002"/>
    <n v="-174095004.68999991"/>
    <n v="162055819.10000011"/>
    <n v="336150823.79000002"/>
    <n v="-174881427.90999991"/>
    <n v="161269395.88000011"/>
    <n v="336150823.79000002"/>
    <n v="-175667851.11999992"/>
    <n v="160482972.67000011"/>
    <n v="336150823.79000002"/>
    <n v="-176454274.3499999"/>
    <n v="159696549.44000012"/>
    <n v="336150823.79000002"/>
    <n v="-177226451.54999992"/>
    <n v="158924372.2400001"/>
    <n v="336150823.79000002"/>
    <n v="-177998628.75999993"/>
    <n v="158152195.03000009"/>
    <n v="336172398.80000001"/>
    <n v="-178771291.39999992"/>
    <n v="157401107.4000001"/>
    <n v="336172398.80000001"/>
    <n v="-179543522.55999991"/>
    <n v="156628876.2400001"/>
    <n v="336172398.80000001"/>
    <n v="-180315753.71999991"/>
    <n v="155856645.0800001"/>
    <n v="357104634.07000005"/>
    <n v="-181087984.81999993"/>
    <n v="176016649.25000012"/>
  </r>
  <r>
    <s v="E368"/>
    <s v="Electric"/>
    <x v="3"/>
    <n v="118982793.64"/>
    <n v="-67462512.239999995"/>
    <n v="51520281.400000006"/>
    <n v="118982793.64"/>
    <n v="-67725820.260000005"/>
    <n v="51256973.379999995"/>
    <n v="118982793.64"/>
    <n v="-67989128.260000005"/>
    <n v="50993665.379999995"/>
    <n v="118982793.64"/>
    <n v="-68252436.219999999"/>
    <n v="50730357.420000002"/>
    <n v="118982793.64"/>
    <n v="-68515744.459999993"/>
    <n v="50467049.180000007"/>
    <n v="118982793.64"/>
    <n v="-68779052.489999995"/>
    <n v="50203741.150000006"/>
    <n v="118982793.64"/>
    <n v="-69042360.790000007"/>
    <n v="49940432.849999994"/>
    <n v="118982793.64"/>
    <n v="-69298714.980000004"/>
    <n v="49684078.659999996"/>
    <n v="118982793.64"/>
    <n v="-69555069.359999999"/>
    <n v="49427724.280000001"/>
    <n v="118992318.22"/>
    <n v="-69811637.809999987"/>
    <n v="49180680.410000011"/>
    <n v="118992318.22"/>
    <n v="-70068016.049999997"/>
    <n v="48924302.170000002"/>
    <n v="118992318.22"/>
    <n v="-70324394"/>
    <n v="48667924.219999999"/>
    <n v="119685281.43000001"/>
    <n v="-70582909.399999991"/>
    <n v="49102372.030000016"/>
  </r>
  <r>
    <s v="E369"/>
    <s v="Electric"/>
    <x v="3"/>
    <n v="89598556.519999981"/>
    <n v="-70092337.689999968"/>
    <n v="19506218.830000013"/>
    <n v="89598556.519999981"/>
    <n v="-70248690.669999972"/>
    <n v="19349865.850000009"/>
    <n v="89598556.519999981"/>
    <n v="-70405043.61999996"/>
    <n v="19193512.900000021"/>
    <n v="89598556.519999981"/>
    <n v="-70561396.539999962"/>
    <n v="19037159.980000019"/>
    <n v="89598556.519999981"/>
    <n v="-70717749.459999964"/>
    <n v="18880807.060000017"/>
    <n v="89598556.519999981"/>
    <n v="-70874102.379999965"/>
    <n v="18724454.140000015"/>
    <n v="89598556.519999981"/>
    <n v="-71030455.349999964"/>
    <n v="18568101.170000017"/>
    <n v="89598556.519999981"/>
    <n v="-71186808.289999962"/>
    <n v="18411748.230000019"/>
    <n v="89598556.519999981"/>
    <n v="-71343161.219999969"/>
    <n v="18255395.300000012"/>
    <n v="89598556.519999981"/>
    <n v="-71499514.169999957"/>
    <n v="18099042.350000024"/>
    <n v="89598556.519999981"/>
    <n v="-71655867.129999965"/>
    <n v="17942689.390000015"/>
    <n v="89598556.519999981"/>
    <n v="-71812220.059999958"/>
    <n v="17786336.460000023"/>
    <n v="92634535.709999979"/>
    <n v="-71968573.029999956"/>
    <n v="20665962.680000022"/>
  </r>
  <r>
    <s v="E370"/>
    <s v="Electric"/>
    <x v="3"/>
    <n v="86762168.370000005"/>
    <n v="-40341431.059999987"/>
    <n v="46420737.310000017"/>
    <n v="86762168.370000005"/>
    <n v="-40657175.54999999"/>
    <n v="46104992.820000015"/>
    <n v="86762168.370000005"/>
    <n v="-40972920.079999991"/>
    <n v="45789248.290000014"/>
    <n v="86762168.370000005"/>
    <n v="-41288664.54999999"/>
    <n v="45473503.820000015"/>
    <n v="86752865.870000005"/>
    <n v="-41597873.929999985"/>
    <n v="45154991.94000002"/>
    <n v="86752865.870000005"/>
    <n v="-41913579.61999999"/>
    <n v="44839286.250000015"/>
    <n v="86752865.870000005"/>
    <n v="-42229285.379999988"/>
    <n v="44523580.490000017"/>
    <n v="86752865.870000005"/>
    <n v="-42544991.089999989"/>
    <n v="44207874.780000016"/>
    <n v="86752865.870000005"/>
    <n v="-42860696.829999991"/>
    <n v="43892169.040000014"/>
    <n v="86752865.870000005"/>
    <n v="-43176402.579999983"/>
    <n v="43576463.290000021"/>
    <n v="86752865.870000005"/>
    <n v="-43492108.289999992"/>
    <n v="43260757.580000013"/>
    <n v="86752865.870000005"/>
    <n v="-43807814.089999989"/>
    <n v="42945051.780000016"/>
    <n v="88148768.24000001"/>
    <n v="-44123519.769999988"/>
    <n v="44025248.470000021"/>
  </r>
  <r>
    <s v="E371"/>
    <s v="Electric"/>
    <x v="3"/>
    <n v="489091.36"/>
    <n v="-489091.35999999993"/>
    <n v="0"/>
    <n v="489091.36"/>
    <n v="-489091.35999999993"/>
    <n v="0"/>
    <n v="489091.36"/>
    <n v="-489091.35999999993"/>
    <n v="0"/>
    <n v="489091.36"/>
    <n v="-489091.35999999993"/>
    <n v="0"/>
    <n v="489091.36"/>
    <n v="-489091.35999999993"/>
    <n v="0"/>
    <n v="489091.36"/>
    <n v="-489091.35999999993"/>
    <n v="0"/>
    <n v="489091.36"/>
    <n v="-489091.35999999993"/>
    <n v="0"/>
    <n v="489091.36"/>
    <n v="-489091.35999999993"/>
    <n v="0"/>
    <n v="489091.36"/>
    <n v="-489091.35999999993"/>
    <n v="0"/>
    <n v="489091.36"/>
    <n v="-489091.35999999993"/>
    <n v="0"/>
    <n v="489091.36"/>
    <n v="-489091.35999999993"/>
    <n v="0"/>
    <n v="489091.36"/>
    <n v="-489091.35999999993"/>
    <n v="0"/>
    <n v="489091.36"/>
    <n v="-489091.35999999993"/>
    <n v="0"/>
  </r>
  <r>
    <s v="E373"/>
    <s v="Electric"/>
    <x v="3"/>
    <n v="10961083.719999999"/>
    <n v="-5788872.1100000003"/>
    <n v="5172211.6099999985"/>
    <n v="10961083.719999999"/>
    <n v="-5822044.6100000003"/>
    <n v="5139039.1099999985"/>
    <n v="10961083.719999999"/>
    <n v="-5855217.0800000001"/>
    <n v="5105866.6399999987"/>
    <n v="10961083.719999999"/>
    <n v="-5888389.5900000008"/>
    <n v="5072694.129999998"/>
    <n v="10961083.719999999"/>
    <n v="-5921562.0300000003"/>
    <n v="5039521.6899999985"/>
    <n v="10961083.719999999"/>
    <n v="-5954734.5500000007"/>
    <n v="5006349.1699999981"/>
    <n v="10961083.719999999"/>
    <n v="-5987906.9200000009"/>
    <n v="4973176.799999998"/>
    <n v="10961083.719999999"/>
    <n v="-6020946.3100000005"/>
    <n v="4940137.4099999983"/>
    <n v="10961083.719999999"/>
    <n v="-6053985.540000001"/>
    <n v="4907098.1799999978"/>
    <n v="10961083.719999999"/>
    <n v="-6087024.8900000006"/>
    <n v="4874058.8299999982"/>
    <n v="10961083.719999999"/>
    <n v="-6120064.120000001"/>
    <n v="4841019.5999999978"/>
    <n v="10961083.719999999"/>
    <n v="-6153103.4800000004"/>
    <n v="4807980.2399999984"/>
    <n v="11254497.169999998"/>
    <n v="-6186142.6800000006"/>
    <n v="5068354.4899999974"/>
  </r>
  <r>
    <s v="S373"/>
    <s v="Streetlights"/>
    <x v="3"/>
    <n v="56951291.870000005"/>
    <n v="-38452520.929999992"/>
    <n v="18498770.940000013"/>
    <n v="56951291.870000005"/>
    <n v="-38579649.889999993"/>
    <n v="18371641.980000012"/>
    <n v="56951291.870000005"/>
    <n v="-38706778.859999992"/>
    <n v="18244513.010000013"/>
    <n v="56951291.870000005"/>
    <n v="-38833907.839999996"/>
    <n v="18117384.030000009"/>
    <n v="56951291.870000005"/>
    <n v="-38961036.769999996"/>
    <n v="17990255.100000009"/>
    <n v="56951291.870000005"/>
    <n v="-39088165.769999996"/>
    <n v="17863126.100000009"/>
    <n v="56951291.870000005"/>
    <n v="-39215294.669999994"/>
    <n v="17735997.20000001"/>
    <n v="56951291.870000005"/>
    <n v="-39340190.469999999"/>
    <n v="17611101.400000006"/>
    <n v="56951291.870000005"/>
    <n v="-39465086.189999998"/>
    <n v="17486205.680000007"/>
    <n v="56951291.870000005"/>
    <n v="-39589982.009999998"/>
    <n v="17361309.860000007"/>
    <n v="56951291.870000005"/>
    <n v="-39714877.719999999"/>
    <n v="17236414.150000006"/>
    <n v="56951291.870000005"/>
    <n v="-39839773.609999992"/>
    <n v="17111518.260000013"/>
    <n v="59713079.900000006"/>
    <n v="-39964669.309999995"/>
    <n v="19748410.590000011"/>
  </r>
  <r>
    <s v="E388"/>
    <s v="Electric"/>
    <x v="4"/>
    <n v="10109182.699999999"/>
    <n v="-7395825.8199999994"/>
    <n v="2713356.88"/>
    <n v="10109182.699999999"/>
    <n v="-7487439.75"/>
    <n v="2621742.9499999993"/>
    <n v="10109182.699999999"/>
    <n v="-7579053.6800000006"/>
    <n v="2530129.0199999986"/>
    <n v="10109182.699999999"/>
    <n v="-7668743.5599999996"/>
    <n v="2440439.1399999997"/>
    <n v="10109182.699999999"/>
    <n v="-7758433.4699999997"/>
    <n v="2350749.2299999995"/>
    <n v="10109182.699999999"/>
    <n v="-7848123.3700000001"/>
    <n v="2261059.3299999991"/>
    <n v="10109182.699999999"/>
    <n v="-7937813.29"/>
    <n v="2171369.4099999992"/>
    <n v="10109182.699999999"/>
    <n v="-8027503.2000000002"/>
    <n v="2081679.4999999991"/>
    <n v="10109182.699999999"/>
    <n v="-8117193.1100000003"/>
    <n v="1991989.5899999989"/>
    <n v="10109182.699999999"/>
    <n v="-8206883.0100000007"/>
    <n v="1902299.6899999985"/>
    <n v="10109182.699999999"/>
    <n v="-8296572.9200000009"/>
    <n v="1812609.7799999984"/>
    <n v="10109182.699999999"/>
    <n v="-8386262.8100000005"/>
    <n v="1722919.8899999987"/>
    <n v="21064369.370000001"/>
    <n v="-9132373.6599999983"/>
    <n v="11931995.710000003"/>
  </r>
  <r>
    <s v="E389"/>
    <s v="Electric"/>
    <x v="4"/>
    <n v="2979259.8800000004"/>
    <n v="0"/>
    <n v="2979259.8800000004"/>
    <n v="2979259.8800000004"/>
    <n v="0"/>
    <n v="2979259.8800000004"/>
    <n v="2979259.8800000004"/>
    <n v="0"/>
    <n v="2979259.8800000004"/>
    <n v="2979259.8800000004"/>
    <n v="0"/>
    <n v="2979259.8800000004"/>
    <n v="2979259.8800000004"/>
    <n v="0"/>
    <n v="2979259.8800000004"/>
    <n v="2979259.8800000004"/>
    <n v="0"/>
    <n v="2979259.8800000004"/>
    <n v="2979259.8800000004"/>
    <n v="0"/>
    <n v="2979259.8800000004"/>
    <n v="2979259.8800000004"/>
    <n v="0"/>
    <n v="2979259.8800000004"/>
    <n v="2979259.8800000004"/>
    <n v="0"/>
    <n v="2979259.8800000004"/>
    <n v="2979259.8800000004"/>
    <n v="0"/>
    <n v="2979259.8800000004"/>
    <n v="2979259.8800000004"/>
    <n v="0"/>
    <n v="2979259.8800000004"/>
    <n v="2979259.8800000004"/>
    <n v="0"/>
    <n v="2979259.8800000004"/>
    <n v="2979259.8800000004"/>
    <n v="0"/>
    <n v="2979259.8800000004"/>
  </r>
  <r>
    <s v="E390"/>
    <s v="Electric"/>
    <x v="4"/>
    <n v="41126171.729999997"/>
    <n v="-12589476.449999999"/>
    <n v="28536695.279999997"/>
    <n v="41126171.729999997"/>
    <n v="-12677817.719999999"/>
    <n v="28448354.009999998"/>
    <n v="41126171.729999997"/>
    <n v="-12766159.029999999"/>
    <n v="28360012.699999996"/>
    <n v="41126171.729999997"/>
    <n v="-12854500.27"/>
    <n v="28271671.459999997"/>
    <n v="41126171.729999997"/>
    <n v="-12942841.59"/>
    <n v="28183330.139999997"/>
    <n v="41126171.729999997"/>
    <n v="-13031182.83"/>
    <n v="28094988.899999999"/>
    <n v="41126171.729999997"/>
    <n v="-13119524.119999999"/>
    <n v="28006647.609999999"/>
    <n v="41126171.729999997"/>
    <n v="-13207865.300000001"/>
    <n v="27918306.429999996"/>
    <n v="41126171.729999997"/>
    <n v="-13296206.58"/>
    <n v="27829965.149999999"/>
    <n v="41171493.489999995"/>
    <n v="-13381662.399999999"/>
    <n v="27789831.089999996"/>
    <n v="41171493.489999995"/>
    <n v="-13470066.049999999"/>
    <n v="27701427.439999998"/>
    <n v="41171493.489999995"/>
    <n v="-13558469.549999999"/>
    <n v="27613023.939999998"/>
    <n v="111337498.86000001"/>
    <n v="-13757820.799999999"/>
    <n v="97579678.060000017"/>
  </r>
  <r>
    <s v="E391"/>
    <s v="Electric"/>
    <x v="4"/>
    <n v="4361861.45"/>
    <n v="-4348551.1200000038"/>
    <n v="13310.329999996349"/>
    <n v="4361861.45"/>
    <n v="-4348684.2300000042"/>
    <n v="13177.219999996014"/>
    <n v="4361861.45"/>
    <n v="-4348817.3300000038"/>
    <n v="13044.119999996386"/>
    <n v="4361861.45"/>
    <n v="-4348950.4400000041"/>
    <n v="12911.009999996051"/>
    <n v="4361861.45"/>
    <n v="-4349083.5400000038"/>
    <n v="12777.909999996424"/>
    <n v="4361861.45"/>
    <n v="-4349216.6500000041"/>
    <n v="12644.799999996088"/>
    <n v="4361861.45"/>
    <n v="-4349349.7500000037"/>
    <n v="12511.699999996461"/>
    <n v="4361861.45"/>
    <n v="-4349482.8600000041"/>
    <n v="12378.589999996126"/>
    <n v="4361861.45"/>
    <n v="-4349615.9500000039"/>
    <n v="12245.499999996275"/>
    <n v="4361861.45"/>
    <n v="-4349749.0600000042"/>
    <n v="12112.389999995939"/>
    <n v="4361861.45"/>
    <n v="-4349882.1500000041"/>
    <n v="11979.299999996088"/>
    <n v="4361861.45"/>
    <n v="-4350015.2600000044"/>
    <n v="11846.189999995753"/>
    <n v="4361861.45"/>
    <n v="-4350148.3500000043"/>
    <n v="11713.099999995902"/>
  </r>
  <r>
    <s v="E392"/>
    <s v="Electric"/>
    <x v="4"/>
    <n v="38938935.25"/>
    <n v="-30656665.539999995"/>
    <n v="8282269.7100000046"/>
    <n v="38850928.359999999"/>
    <n v="-30792867.999999996"/>
    <n v="8058060.3600000031"/>
    <n v="38546481.210000001"/>
    <n v="-30707078.569999997"/>
    <n v="7839402.6400000043"/>
    <n v="38510159.380000003"/>
    <n v="-30885949.049999997"/>
    <n v="7624210.3300000057"/>
    <n v="38510159.380000003"/>
    <n v="-31089352.529999997"/>
    <n v="7420806.8500000052"/>
    <n v="38481746.800000004"/>
    <n v="-31244373.449999999"/>
    <n v="7237373.3500000052"/>
    <n v="38481746.800000004"/>
    <n v="-31425848.569999997"/>
    <n v="7055898.2300000079"/>
    <n v="38375625.880000003"/>
    <n v="-31500882.739999998"/>
    <n v="6874743.1400000043"/>
    <n v="41369536.130000003"/>
    <n v="-31533534.509999998"/>
    <n v="9836001.6200000048"/>
    <n v="41145058.490000002"/>
    <n v="-31534814.359999996"/>
    <n v="9610244.1300000064"/>
    <n v="40580064.149999999"/>
    <n v="-31195577.299999997"/>
    <n v="9384486.8500000015"/>
    <n v="42054726.050000004"/>
    <n v="-31453574.189999998"/>
    <n v="10601151.860000007"/>
    <n v="41837043.109999999"/>
    <n v="-31480951.009999998"/>
    <n v="10356092.100000001"/>
  </r>
  <r>
    <s v="E393"/>
    <s v="Electric"/>
    <x v="4"/>
    <n v="324648.67"/>
    <n v="-324648.67"/>
    <n v="0"/>
    <n v="324648.67"/>
    <n v="-324648.67"/>
    <n v="0"/>
    <n v="324648.67"/>
    <n v="-324648.67"/>
    <n v="0"/>
    <n v="324648.67"/>
    <n v="-324648.67"/>
    <n v="0"/>
    <n v="324648.67"/>
    <n v="-324648.67"/>
    <n v="0"/>
    <n v="324648.67"/>
    <n v="-324648.67"/>
    <n v="0"/>
    <n v="324648.67"/>
    <n v="-324648.67"/>
    <n v="0"/>
    <n v="324648.67"/>
    <n v="-324648.67"/>
    <n v="0"/>
    <n v="324648.67"/>
    <n v="-324648.67"/>
    <n v="0"/>
    <n v="324648.67"/>
    <n v="-324648.67"/>
    <n v="0"/>
    <n v="324648.67"/>
    <n v="-324648.67"/>
    <n v="0"/>
    <n v="324648.67"/>
    <n v="-324648.67"/>
    <n v="0"/>
    <n v="324648.67"/>
    <n v="-324648.67"/>
    <n v="0"/>
  </r>
  <r>
    <s v="E394"/>
    <s v="Electric"/>
    <x v="4"/>
    <n v="10570746.01"/>
    <n v="-9683171.7599999979"/>
    <n v="887574.25000000186"/>
    <n v="10570746.01"/>
    <n v="-9692157.8999999985"/>
    <n v="878588.11000000127"/>
    <n v="10570746.01"/>
    <n v="-9701144.0399999991"/>
    <n v="869601.97000000067"/>
    <n v="10570746.01"/>
    <n v="-9710130.1899999976"/>
    <n v="860615.82000000216"/>
    <n v="10570746.01"/>
    <n v="-9719116.339999998"/>
    <n v="851629.67000000179"/>
    <n v="10570746.01"/>
    <n v="-9728102.4899999984"/>
    <n v="842643.52000000142"/>
    <n v="10570746.01"/>
    <n v="-9737088.5999999978"/>
    <n v="833657.41000000201"/>
    <n v="10570746.01"/>
    <n v="-9746074.7499999981"/>
    <n v="824671.26000000164"/>
    <n v="10570746.01"/>
    <n v="-9755060.8599999975"/>
    <n v="815685.15000000224"/>
    <n v="10570746.01"/>
    <n v="-9764047.0199999977"/>
    <n v="806698.99000000209"/>
    <n v="10570746.01"/>
    <n v="-9773033.129999999"/>
    <n v="797712.88000000082"/>
    <n v="10570746.01"/>
    <n v="-9782019.2999999989"/>
    <n v="788726.71000000089"/>
    <n v="10551092.199999999"/>
    <n v="-9788405.8099999987"/>
    <n v="762686.3900000006"/>
  </r>
  <r>
    <s v="E395"/>
    <s v="Electric"/>
    <x v="4"/>
    <n v="1074434.21"/>
    <n v="-1008838.94"/>
    <n v="65595.270000000019"/>
    <n v="1074434.21"/>
    <n v="-1010163.13"/>
    <n v="64271.079999999958"/>
    <n v="1074434.21"/>
    <n v="-1011487.32"/>
    <n v="62946.890000000014"/>
    <n v="1074434.21"/>
    <n v="-1012811.51"/>
    <n v="61622.699999999953"/>
    <n v="1074434.21"/>
    <n v="-1014135.7"/>
    <n v="60298.510000000009"/>
    <n v="1074434.21"/>
    <n v="-1015459.89"/>
    <n v="58974.319999999949"/>
    <n v="1074434.21"/>
    <n v="-1016784.07"/>
    <n v="57650.140000000014"/>
    <n v="1074434.21"/>
    <n v="-1018108.26"/>
    <n v="56325.949999999953"/>
    <n v="1074434.21"/>
    <n v="-1019432.45"/>
    <n v="55001.760000000009"/>
    <n v="1074434.21"/>
    <n v="-1020756.64"/>
    <n v="53677.569999999949"/>
    <n v="1074434.21"/>
    <n v="-1022080.83"/>
    <n v="52353.380000000005"/>
    <n v="1074434.21"/>
    <n v="-1023405.01"/>
    <n v="51029.199999999953"/>
    <n v="1074434.21"/>
    <n v="-1024729.21"/>
    <n v="49705"/>
  </r>
  <r>
    <s v="E396"/>
    <s v="Electric"/>
    <x v="4"/>
    <n v="12208292.209999997"/>
    <n v="-11490105.4"/>
    <n v="718186.8099999968"/>
    <n v="12192596.209999997"/>
    <n v="-11514858.520000001"/>
    <n v="677737.68999999575"/>
    <n v="12192596.209999997"/>
    <n v="-11555307.630000001"/>
    <n v="637288.57999999635"/>
    <n v="12192596.209999997"/>
    <n v="-11595756.75"/>
    <n v="596839.45999999717"/>
    <n v="12192596.209999997"/>
    <n v="-11636205.860000001"/>
    <n v="556390.3499999959"/>
    <n v="12192596.209999997"/>
    <n v="-11676654.98"/>
    <n v="515941.22999999672"/>
    <n v="12192596.209999997"/>
    <n v="-11717104.090000002"/>
    <n v="475492.11999999546"/>
    <n v="12192596.209999997"/>
    <n v="-11757553.210000001"/>
    <n v="435042.99999999627"/>
    <n v="11688897.739999998"/>
    <n v="-11294303.840000002"/>
    <n v="394593.89999999665"/>
    <n v="11688897.739999998"/>
    <n v="-11334752.970000001"/>
    <n v="354144.76999999769"/>
    <n v="11688897.739999998"/>
    <n v="-11375202.07"/>
    <n v="313695.66999999806"/>
    <n v="11688897.739999998"/>
    <n v="-11415651.190000001"/>
    <n v="273246.54999999702"/>
    <n v="11688897.739999998"/>
    <n v="-11456100.270000001"/>
    <n v="232797.46999999695"/>
  </r>
  <r>
    <s v="E397"/>
    <s v="Electric"/>
    <x v="4"/>
    <n v="62731457.059999995"/>
    <n v="-8040007.259999997"/>
    <n v="54691449.799999997"/>
    <n v="62731457.059999995"/>
    <n v="-8354414.5999999968"/>
    <n v="54377042.460000001"/>
    <n v="62731457.059999995"/>
    <n v="-8668821.9100000057"/>
    <n v="54062635.149999991"/>
    <n v="62731457.059999995"/>
    <n v="-8983229.2500000056"/>
    <n v="53748227.809999987"/>
    <n v="62731457.059999995"/>
    <n v="-9297636.6300000045"/>
    <n v="53433820.429999992"/>
    <n v="62731457.059999995"/>
    <n v="-9612043.9700000044"/>
    <n v="53119413.089999989"/>
    <n v="62731457.059999995"/>
    <n v="-9926451.3700000048"/>
    <n v="52805005.68999999"/>
    <n v="62731457.059999995"/>
    <n v="-10240858.730000004"/>
    <n v="52490598.329999991"/>
    <n v="62731457.059999995"/>
    <n v="-10555266.130000006"/>
    <n v="52176190.929999992"/>
    <n v="62731457.059999995"/>
    <n v="-10869673.480000004"/>
    <n v="51861783.579999991"/>
    <n v="62731457.059999995"/>
    <n v="-11184080.860000005"/>
    <n v="51547376.199999988"/>
    <n v="62731457.059999995"/>
    <n v="-11498488.220000006"/>
    <n v="51232968.839999989"/>
    <n v="75274073.289999992"/>
    <n v="-11828093.030000005"/>
    <n v="63445980.25999999"/>
  </r>
  <r>
    <s v="E398"/>
    <s v="Electric"/>
    <x v="4"/>
    <n v="681053.33000000007"/>
    <n v="-527769.02"/>
    <n v="153284.31000000006"/>
    <n v="681053.33000000007"/>
    <n v="-529841.79"/>
    <n v="151211.54000000004"/>
    <n v="681053.33000000007"/>
    <n v="-531914.58000000007"/>
    <n v="149138.75"/>
    <n v="681053.33000000007"/>
    <n v="-533987.35000000009"/>
    <n v="147065.97999999998"/>
    <n v="681053.33000000007"/>
    <n v="-536060.15"/>
    <n v="144993.18000000005"/>
    <n v="681053.33000000007"/>
    <n v="-538132.92000000004"/>
    <n v="142920.41000000003"/>
    <n v="681053.33000000007"/>
    <n v="-540205.72"/>
    <n v="140847.6100000001"/>
    <n v="681053.33000000007"/>
    <n v="-542278.49"/>
    <n v="138774.84000000008"/>
    <n v="681053.33000000007"/>
    <n v="-544351.29"/>
    <n v="136702.04000000004"/>
    <n v="681053.33000000007"/>
    <n v="-546424.05999999994"/>
    <n v="134629.27000000014"/>
    <n v="681053.33000000007"/>
    <n v="-548496.86"/>
    <n v="132556.47000000009"/>
    <n v="681053.33000000007"/>
    <n v="-550569.63"/>
    <n v="130483.70000000007"/>
    <n v="681053.33000000007"/>
    <n v="-552642.43000000005"/>
    <n v="128410.90000000002"/>
  </r>
  <r>
    <s v="E399"/>
    <s v="Electric"/>
    <x v="4"/>
    <n v="18398999.690000001"/>
    <n v="-18398999.690000005"/>
    <n v="0"/>
    <n v="18398999.690000001"/>
    <n v="-18398999.690000005"/>
    <n v="0"/>
    <n v="18398999.690000001"/>
    <n v="-18398999.690000005"/>
    <n v="0"/>
    <n v="18398999.690000001"/>
    <n v="-18398999.690000005"/>
    <n v="0"/>
    <n v="18398999.690000001"/>
    <n v="-18398999.690000005"/>
    <n v="0"/>
    <n v="18398999.690000001"/>
    <n v="-18398999.690000005"/>
    <n v="0"/>
    <n v="18398999.690000001"/>
    <n v="-18398999.690000005"/>
    <n v="0"/>
    <n v="18398999.690000001"/>
    <n v="-18398999.690000005"/>
    <n v="0"/>
    <n v="18398999.690000001"/>
    <n v="-18398999.690000005"/>
    <n v="0"/>
    <n v="18398999.690000001"/>
    <n v="-18398999.690000005"/>
    <n v="0"/>
    <n v="18398999.690000001"/>
    <n v="-18398999.690000005"/>
    <n v="0"/>
    <n v="18398999.690000001"/>
    <n v="-18398999.690000005"/>
    <n v="0"/>
    <n v="18398999.690000001"/>
    <n v="-18398999.690000005"/>
    <n v="0"/>
  </r>
  <r>
    <m/>
    <m/>
    <x v="5"/>
    <n v="2758214163.3499999"/>
    <n v="-1585115686.53"/>
    <n v="1173098476.8200002"/>
    <n v="2758110460.46"/>
    <n v="-1592436370.4300001"/>
    <n v="1165674090.0300002"/>
    <n v="2757806013.3099999"/>
    <n v="-1599550758.0999994"/>
    <n v="1158255255.2100003"/>
    <n v="2757769691.48"/>
    <n v="-1606926708.9499996"/>
    <n v="1150842982.53"/>
    <n v="2757760388.98"/>
    <n v="-1614320084.6599998"/>
    <n v="1143440304.3200004"/>
    <n v="2757731976.4000001"/>
    <n v="-1621671574.1999998"/>
    <n v="1136060402.1999998"/>
    <n v="2757731976.4000001"/>
    <n v="-1629049255.3199995"/>
    <n v="1128682721.0800002"/>
    <n v="2757625855.48"/>
    <n v="-1636220331.9299996"/>
    <n v="1121405523.55"/>
    <n v="2760116067.2599998"/>
    <n v="-1642845087.49"/>
    <n v="1117270979.7699997"/>
    <n v="2761135897.7399988"/>
    <n v="-1649928050.3799999"/>
    <n v="1111207847.3600004"/>
    <n v="2760425903.3999991"/>
    <n v="-1656571624.7799995"/>
    <n v="1103854278.6199999"/>
    <n v="2767129768.9299994"/>
    <n v="-1664119368.79"/>
    <n v="1103010400.1400003"/>
    <n v="3073069495.9900002"/>
    <n v="-1678370152.4499998"/>
    <n v="1394699343.540000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">
  <r>
    <s v="E303"/>
    <s v="Electric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310"/>
    <s v="Electric"/>
    <x v="1"/>
    <n v="11209015.300000001"/>
    <n v="0"/>
    <n v="11209015.300000001"/>
    <n v="11209015.300000001"/>
    <n v="0"/>
    <n v="11209015.300000001"/>
    <n v="11209015.300000001"/>
    <n v="0"/>
    <n v="11209015.300000001"/>
    <n v="11209015.300000001"/>
    <n v="0"/>
    <n v="11209015.300000001"/>
    <n v="11209015.300000001"/>
    <n v="0"/>
    <n v="11209015.300000001"/>
    <n v="11209015.300000001"/>
    <n v="0"/>
    <n v="11209015.300000001"/>
    <n v="11209015.300000001"/>
    <n v="0"/>
    <n v="11209015.300000001"/>
    <n v="11209015.300000001"/>
    <n v="0"/>
    <n v="11209015.300000001"/>
    <n v="11209015.300000001"/>
    <n v="0"/>
    <n v="11209015.300000001"/>
    <n v="11209015.300000001"/>
    <n v="0"/>
    <n v="11209015.300000001"/>
    <n v="11209015.300000001"/>
    <n v="0"/>
    <n v="11209015.300000001"/>
    <n v="11209015.300000001"/>
    <n v="0"/>
    <n v="11209015.300000001"/>
    <n v="11209015.300000001"/>
    <n v="0"/>
    <n v="11209015.300000001"/>
  </r>
  <r>
    <s v="E311"/>
    <s v="Electric"/>
    <x v="1"/>
    <n v="50094817.619999997"/>
    <n v="-31885787.020000011"/>
    <n v="18209030.599999987"/>
    <n v="50094817.619999997"/>
    <n v="-31952378.750000007"/>
    <n v="18142438.86999999"/>
    <n v="50094817.619999997"/>
    <n v="-32018970.510000009"/>
    <n v="18075847.109999988"/>
    <n v="50094817.619999997"/>
    <n v="-32085562.280000009"/>
    <n v="18009255.339999989"/>
    <n v="50094817.619999997"/>
    <n v="-32152154.030000009"/>
    <n v="17942663.589999989"/>
    <n v="50094817.619999997"/>
    <n v="-32218745.81000001"/>
    <n v="17876071.809999987"/>
    <n v="50094817.619999997"/>
    <n v="-32285337.540000007"/>
    <n v="17809480.079999991"/>
    <n v="50094817.619999997"/>
    <n v="-32351929.320000008"/>
    <n v="17742888.29999999"/>
    <n v="50094817.619999997"/>
    <n v="-32418521.030000009"/>
    <n v="17676296.589999989"/>
    <n v="50094817.619999997"/>
    <n v="-32485112.830000009"/>
    <n v="17609704.789999988"/>
    <n v="50094817.619999997"/>
    <n v="-32551704.54000001"/>
    <n v="17543113.079999987"/>
    <n v="50181378.759999998"/>
    <n v="-32619055.680000011"/>
    <n v="17562323.079999987"/>
    <n v="49670122.839999996"/>
    <n v="-32191726.010000013"/>
    <n v="17478396.829999983"/>
  </r>
  <r>
    <s v="E312"/>
    <s v="Electric"/>
    <x v="1"/>
    <n v="210497810.07000002"/>
    <n v="-162794771.20000002"/>
    <n v="47703038.870000005"/>
    <n v="210497810.07000002"/>
    <n v="-163496700.25000003"/>
    <n v="47001109.819999993"/>
    <n v="210497810.07000002"/>
    <n v="-164198629.21000001"/>
    <n v="46299180.860000014"/>
    <n v="210497810.07000002"/>
    <n v="-164900558.37"/>
    <n v="45597251.700000018"/>
    <n v="210497810.07000002"/>
    <n v="-165602324.06"/>
    <n v="44895486.01000002"/>
    <n v="210497810.07000002"/>
    <n v="-166304089.89000002"/>
    <n v="44193720.180000007"/>
    <n v="210497810.07000002"/>
    <n v="-167005592.24000001"/>
    <n v="43492217.830000013"/>
    <n v="210497810.07000002"/>
    <n v="-167672349.92000002"/>
    <n v="42825460.150000006"/>
    <n v="210497810.07000002"/>
    <n v="-168339107.06999999"/>
    <n v="42158703.00000003"/>
    <n v="210653718.26000002"/>
    <n v="-169007392.06"/>
    <n v="41646326.200000018"/>
    <n v="210603718.26000002"/>
    <n v="-169641599.94"/>
    <n v="40962118.320000023"/>
    <n v="212101838.22000003"/>
    <n v="-170523967.51999998"/>
    <n v="41577870.700000048"/>
    <n v="239391567.74000004"/>
    <n v="-171719648.07999998"/>
    <n v="67671919.660000056"/>
  </r>
  <r>
    <s v="E313"/>
    <s v="Electric"/>
    <x v="1"/>
    <n v="754704.29"/>
    <n v="-468534.73000000016"/>
    <n v="286169.55999999988"/>
    <n v="754704.29"/>
    <n v="-470738.98000000016"/>
    <n v="283965.30999999988"/>
    <n v="754704.29"/>
    <n v="-472943.23000000016"/>
    <n v="281761.05999999988"/>
    <n v="754704.29"/>
    <n v="-475147.48000000016"/>
    <n v="279556.80999999988"/>
    <n v="754704.29"/>
    <n v="-477351.73000000016"/>
    <n v="277352.55999999988"/>
    <n v="754704.29"/>
    <n v="-479555.98000000016"/>
    <n v="275148.30999999988"/>
    <n v="754704.29"/>
    <n v="-481760.23000000016"/>
    <n v="272944.05999999988"/>
    <n v="754704.29"/>
    <n v="-483828.17000000016"/>
    <n v="270876.11999999988"/>
    <n v="754704.29"/>
    <n v="-485896.11000000016"/>
    <n v="268808.17999999988"/>
    <n v="754704.29"/>
    <n v="-487964.05000000016"/>
    <n v="266740.23999999987"/>
    <n v="754704.29"/>
    <n v="-490031.99000000017"/>
    <n v="264672.29999999987"/>
    <n v="754704.29"/>
    <n v="-492099.92000000016"/>
    <n v="262604.36999999988"/>
    <n v="754704.29"/>
    <n v="-494167.86000000016"/>
    <n v="260536.42999999988"/>
  </r>
  <r>
    <s v="E314"/>
    <s v="Electric"/>
    <x v="1"/>
    <n v="41617136.25"/>
    <n v="-32253618.669999991"/>
    <n v="9363517.5800000094"/>
    <n v="41617136.25"/>
    <n v="-32335709.499999989"/>
    <n v="9281426.7500000112"/>
    <n v="41617136.25"/>
    <n v="-32417800.269999988"/>
    <n v="9199335.9800000116"/>
    <n v="41617136.25"/>
    <n v="-32498717.889999989"/>
    <n v="9118418.3600000106"/>
    <n v="41617136.25"/>
    <n v="-32579225.489999991"/>
    <n v="9037910.7600000091"/>
    <n v="41617136.25"/>
    <n v="-32659733.139999989"/>
    <n v="8957403.1100000106"/>
    <n v="41617136.25"/>
    <n v="-32740240.699999988"/>
    <n v="8876895.5500000119"/>
    <n v="41617136.25"/>
    <n v="-32819913.469999988"/>
    <n v="8797222.7800000124"/>
    <n v="41617136.25"/>
    <n v="-32899586.11999999"/>
    <n v="8717550.1300000101"/>
    <n v="41617136.25"/>
    <n v="-32979258.899999987"/>
    <n v="8637877.3500000127"/>
    <n v="41617136.25"/>
    <n v="-33058931.539999988"/>
    <n v="8558204.7100000121"/>
    <n v="41617136.25"/>
    <n v="-33138604.359999988"/>
    <n v="8478531.8900000118"/>
    <n v="42628460.140000001"/>
    <n v="-33132041.59999999"/>
    <n v="9496418.5400000103"/>
  </r>
  <r>
    <s v="E315"/>
    <s v="Electric"/>
    <x v="1"/>
    <n v="27744976.029999997"/>
    <n v="-23759086.710000001"/>
    <n v="3985889.3199999966"/>
    <n v="27744976.029999997"/>
    <n v="-23812286.68"/>
    <n v="3932689.3499999978"/>
    <n v="27744976.029999997"/>
    <n v="-23865486.609999999"/>
    <n v="3879489.4199999981"/>
    <n v="27744976.029999997"/>
    <n v="-23918686.710000001"/>
    <n v="3826289.3199999966"/>
    <n v="27744976.029999997"/>
    <n v="-23971886.66"/>
    <n v="3773089.3699999973"/>
    <n v="27744976.029999997"/>
    <n v="-24025086.870000001"/>
    <n v="3719889.1599999964"/>
    <n v="27744976.029999997"/>
    <n v="-24078286.82"/>
    <n v="3666689.2099999972"/>
    <n v="27744976.029999997"/>
    <n v="-24129519.130000003"/>
    <n v="3615456.8999999948"/>
    <n v="27744976.029999997"/>
    <n v="-24180510.880000003"/>
    <n v="3564465.1499999948"/>
    <n v="27841464.580000002"/>
    <n v="-24196346.710000001"/>
    <n v="3645117.870000001"/>
    <n v="27816464.580000002"/>
    <n v="-24223127.18"/>
    <n v="3593337.4000000022"/>
    <n v="27816464.580000002"/>
    <n v="-24274907.950000003"/>
    <n v="3541556.629999999"/>
    <n v="28565149.419999998"/>
    <n v="-23916171.470000003"/>
    <n v="4648977.9499999955"/>
  </r>
  <r>
    <s v="E316"/>
    <s v="Electric"/>
    <x v="1"/>
    <n v="8156589.9099999992"/>
    <n v="-7190564.46"/>
    <n v="966025.44999999925"/>
    <n v="8156589.9099999992"/>
    <n v="-7208103.6100000003"/>
    <n v="948486.29999999888"/>
    <n v="8156589.9099999992"/>
    <n v="-7225642.7599999998"/>
    <n v="930947.14999999944"/>
    <n v="8156589.9099999992"/>
    <n v="-7243181.9500000002"/>
    <n v="913407.95999999903"/>
    <n v="8156589.9099999992"/>
    <n v="-7260721.1399999997"/>
    <n v="895868.76999999955"/>
    <n v="8156589.9099999992"/>
    <n v="-7278260.3499999996"/>
    <n v="878329.55999999959"/>
    <n v="8156589.9099999992"/>
    <n v="-7295799.54"/>
    <n v="860790.36999999918"/>
    <n v="8156589.9099999992"/>
    <n v="-7313338.7599999998"/>
    <n v="843251.14999999944"/>
    <n v="8156589.9099999992"/>
    <n v="-7330877.9399999995"/>
    <n v="825711.96999999974"/>
    <n v="8261831.2800000003"/>
    <n v="-7350476.5199999996"/>
    <n v="911354.76000000071"/>
    <n v="8211831.2800000003"/>
    <n v="-7327442.4799999995"/>
    <n v="884388.80000000075"/>
    <n v="8211831.2800000003"/>
    <n v="-7343783.3999999994"/>
    <n v="868047.88000000082"/>
    <n v="8169632.919999999"/>
    <n v="-7321447.7799999993"/>
    <n v="848185.13999999966"/>
  </r>
  <r>
    <s v="E330"/>
    <s v="Electric"/>
    <x v="1"/>
    <n v="1578200.75"/>
    <n v="0"/>
    <n v="1578200.75"/>
    <n v="1578200.75"/>
    <n v="0"/>
    <n v="1578200.75"/>
    <n v="1578200.75"/>
    <n v="0"/>
    <n v="1578200.75"/>
    <n v="1578200.75"/>
    <n v="0"/>
    <n v="1578200.75"/>
    <n v="1578200.75"/>
    <n v="0"/>
    <n v="1578200.75"/>
    <n v="1578200.75"/>
    <n v="0"/>
    <n v="1578200.75"/>
    <n v="1578200.75"/>
    <n v="0"/>
    <n v="1578200.75"/>
    <n v="1578200.75"/>
    <n v="0"/>
    <n v="1578200.75"/>
    <n v="1578200.75"/>
    <n v="0"/>
    <n v="1578200.75"/>
    <n v="1578200.75"/>
    <n v="0"/>
    <n v="1578200.75"/>
    <n v="1578200.75"/>
    <n v="0"/>
    <n v="1578200.75"/>
    <n v="1578200.75"/>
    <n v="0"/>
    <n v="1578200.75"/>
    <n v="1578200.75"/>
    <n v="0"/>
    <n v="1578200.75"/>
  </r>
  <r>
    <s v="E331"/>
    <s v="Electric"/>
    <x v="1"/>
    <n v="6077493.0999999996"/>
    <n v="-2940292.0100000007"/>
    <n v="3137201.0899999989"/>
    <n v="6077493.0999999996"/>
    <n v="-2949131.2400000007"/>
    <n v="3128361.8599999989"/>
    <n v="6077493.0999999996"/>
    <n v="-2957970.4700000007"/>
    <n v="3119522.629999999"/>
    <n v="6077493.0999999996"/>
    <n v="-2966809.7000000007"/>
    <n v="3110683.399999999"/>
    <n v="6077493.0999999996"/>
    <n v="-2975648.9300000011"/>
    <n v="3101844.1699999985"/>
    <n v="6077493.0999999996"/>
    <n v="-2984488.1600000011"/>
    <n v="3093004.9399999985"/>
    <n v="6077493.0999999996"/>
    <n v="-2993327.3900000011"/>
    <n v="3084165.7099999986"/>
    <n v="6077493.0999999996"/>
    <n v="-3002166.620000001"/>
    <n v="3075326.4799999986"/>
    <n v="6077493.0999999996"/>
    <n v="-3011005.850000001"/>
    <n v="3066487.2499999986"/>
    <n v="6077493.0999999996"/>
    <n v="-3019845.080000001"/>
    <n v="3057648.0199999986"/>
    <n v="6077493.0999999996"/>
    <n v="-3028684.310000001"/>
    <n v="3048808.7899999986"/>
    <n v="6077493.0999999996"/>
    <n v="-3037523.560000001"/>
    <n v="3039969.5399999986"/>
    <n v="6077493.0999999996"/>
    <n v="-3046362.790000001"/>
    <n v="3031130.3099999987"/>
  </r>
  <r>
    <s v="E332"/>
    <s v="Electric"/>
    <x v="1"/>
    <n v="12514552.750000002"/>
    <n v="-7235055.5499999961"/>
    <n v="5279497.2000000058"/>
    <n v="12514552.750000002"/>
    <n v="-7254985.6299999962"/>
    <n v="5259567.1200000057"/>
    <n v="12514552.750000002"/>
    <n v="-7274915.7099999962"/>
    <n v="5239637.0400000056"/>
    <n v="12514552.750000002"/>
    <n v="-7294845.7899999963"/>
    <n v="5219706.9600000056"/>
    <n v="12514552.750000002"/>
    <n v="-7314775.8599999966"/>
    <n v="5199776.8900000053"/>
    <n v="12514552.750000002"/>
    <n v="-7334705.9399999967"/>
    <n v="5179846.8100000052"/>
    <n v="12514552.750000002"/>
    <n v="-7354636.0099999961"/>
    <n v="5159916.7400000058"/>
    <n v="12514552.750000002"/>
    <n v="-7374566.0899999961"/>
    <n v="5139986.6600000057"/>
    <n v="12514552.750000002"/>
    <n v="-7394496.1499999957"/>
    <n v="5120056.6000000061"/>
    <n v="12514552.750000002"/>
    <n v="-7414426.2299999958"/>
    <n v="5100126.5200000061"/>
    <n v="12514552.750000002"/>
    <n v="-7434356.2899999963"/>
    <n v="5080196.4600000056"/>
    <n v="12514552.750000002"/>
    <n v="-7454286.3699999964"/>
    <n v="5060266.3800000055"/>
    <n v="12514552.750000002"/>
    <n v="-7474216.4399999958"/>
    <n v="5040336.3100000061"/>
  </r>
  <r>
    <s v="E333"/>
    <s v="Electric"/>
    <x v="1"/>
    <n v="22096401.800000001"/>
    <n v="-10914457.709999999"/>
    <n v="11181944.090000002"/>
    <n v="22096401.800000001"/>
    <n v="-10977869.66"/>
    <n v="11118532.140000001"/>
    <n v="22096401.800000001"/>
    <n v="-11041281.6"/>
    <n v="11055120.200000001"/>
    <n v="22096401.800000001"/>
    <n v="-11104693.569999998"/>
    <n v="10991708.230000002"/>
    <n v="22096401.800000001"/>
    <n v="-11168105.489999998"/>
    <n v="10928296.310000002"/>
    <n v="22096401.800000001"/>
    <n v="-11231517.479999999"/>
    <n v="10864884.320000002"/>
    <n v="22096401.800000001"/>
    <n v="-11294929.389999999"/>
    <n v="10801472.410000002"/>
    <n v="22096401.800000001"/>
    <n v="-11358341.379999999"/>
    <n v="10738060.420000002"/>
    <n v="22096401.800000001"/>
    <n v="-11421753.289999999"/>
    <n v="10674648.510000002"/>
    <n v="22191833.180000003"/>
    <n v="-11486755.789999999"/>
    <n v="10705077.390000004"/>
    <n v="22191833.180000003"/>
    <n v="-11550565.309999999"/>
    <n v="10641267.870000005"/>
    <n v="22191833.180000003"/>
    <n v="-11614374.939999999"/>
    <n v="10577458.240000004"/>
    <n v="22191833.180000003"/>
    <n v="-11678184.489999998"/>
    <n v="10513648.690000005"/>
  </r>
  <r>
    <s v="E334"/>
    <s v="Electric"/>
    <x v="1"/>
    <n v="3308872.6"/>
    <n v="-3128773.8699999978"/>
    <n v="180098.73000000231"/>
    <n v="3308872.6"/>
    <n v="-3130153.4299999974"/>
    <n v="178719.17000000272"/>
    <n v="3308872.6"/>
    <n v="-3131532.9799999977"/>
    <n v="177339.62000000244"/>
    <n v="3308872.6"/>
    <n v="-3132912.5399999977"/>
    <n v="175960.06000000238"/>
    <n v="3308872.6"/>
    <n v="-3134292.0799999977"/>
    <n v="174580.52000000235"/>
    <n v="3308872.6"/>
    <n v="-3135671.6399999973"/>
    <n v="173200.96000000276"/>
    <n v="3308872.6"/>
    <n v="-3137051.1699999976"/>
    <n v="171821.4300000025"/>
    <n v="3308872.6"/>
    <n v="-3138414.6199999978"/>
    <n v="170457.98000000231"/>
    <n v="3308872.6"/>
    <n v="-3139778.0499999975"/>
    <n v="169094.55000000261"/>
    <n v="3308872.6"/>
    <n v="-3141141.4999999977"/>
    <n v="167731.10000000242"/>
    <n v="3308872.6"/>
    <n v="-3142504.9199999976"/>
    <n v="166367.6800000025"/>
    <n v="3308872.6"/>
    <n v="-3143868.3699999978"/>
    <n v="165004.23000000231"/>
    <n v="3308872.6"/>
    <n v="-3145231.7799999975"/>
    <n v="163640.82000000263"/>
  </r>
  <r>
    <s v="E335"/>
    <s v="Electric"/>
    <x v="1"/>
    <n v="387100.68"/>
    <n v="-351666.95999999979"/>
    <n v="35433.720000000205"/>
    <n v="387100.68"/>
    <n v="-352519.38999999978"/>
    <n v="34581.290000000212"/>
    <n v="387100.68"/>
    <n v="-353371.81999999983"/>
    <n v="33728.860000000161"/>
    <n v="387100.68"/>
    <n v="-354224.24999999983"/>
    <n v="32876.430000000168"/>
    <n v="387100.68"/>
    <n v="-355076.66999999981"/>
    <n v="32024.010000000184"/>
    <n v="387100.68"/>
    <n v="-355929.0999999998"/>
    <n v="31171.580000000191"/>
    <n v="387100.68"/>
    <n v="-356781.51999999979"/>
    <n v="30319.160000000207"/>
    <n v="387100.68"/>
    <n v="-357633.94999999978"/>
    <n v="29466.730000000214"/>
    <n v="387100.68"/>
    <n v="-358486.36999999982"/>
    <n v="28614.310000000172"/>
    <n v="387100.68"/>
    <n v="-359127.81999999977"/>
    <n v="27972.860000000219"/>
    <n v="387100.68"/>
    <n v="-359769.26999999979"/>
    <n v="27331.410000000207"/>
    <n v="387100.68"/>
    <n v="-360410.72999999981"/>
    <n v="26689.950000000186"/>
    <n v="387100.68"/>
    <n v="-361052.2199999998"/>
    <n v="26048.460000000196"/>
  </r>
  <r>
    <s v="E336"/>
    <s v="Electric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340"/>
    <s v="Electric"/>
    <x v="1"/>
    <n v="1038572.94"/>
    <n v="0"/>
    <n v="1038572.94"/>
    <n v="1038572.94"/>
    <n v="0"/>
    <n v="1038572.94"/>
    <n v="1038572.94"/>
    <n v="0"/>
    <n v="1038572.94"/>
    <n v="1038572.94"/>
    <n v="0"/>
    <n v="1038572.94"/>
    <n v="1038572.94"/>
    <n v="0"/>
    <n v="1038572.94"/>
    <n v="1038572.94"/>
    <n v="0"/>
    <n v="1038572.94"/>
    <n v="1038572.94"/>
    <n v="0"/>
    <n v="1038572.94"/>
    <n v="1038572.94"/>
    <n v="0"/>
    <n v="1038572.94"/>
    <n v="1038572.94"/>
    <n v="0"/>
    <n v="1038572.94"/>
    <n v="1038572.94"/>
    <n v="0"/>
    <n v="1038572.94"/>
    <n v="1038572.94"/>
    <n v="0"/>
    <n v="1038572.94"/>
    <n v="1038572.94"/>
    <n v="0"/>
    <n v="1038572.94"/>
    <n v="1038572.94"/>
    <n v="0"/>
    <n v="1038572.94"/>
  </r>
  <r>
    <s v="E341"/>
    <s v="Electric"/>
    <x v="1"/>
    <n v="25161662.379999999"/>
    <n v="-19497935.059999995"/>
    <n v="5663727.320000004"/>
    <n v="25161662.379999999"/>
    <n v="-19575705.889999997"/>
    <n v="5585956.4900000021"/>
    <n v="25161662.379999999"/>
    <n v="-19653476.729999997"/>
    <n v="5508185.6500000022"/>
    <n v="25161662.379999999"/>
    <n v="-19731247.559999995"/>
    <n v="5430414.820000004"/>
    <n v="25161662.379999999"/>
    <n v="-19809018.409999996"/>
    <n v="5352643.9700000025"/>
    <n v="25161662.379999999"/>
    <n v="-19886789.239999998"/>
    <n v="5274873.1400000006"/>
    <n v="25161662.379999999"/>
    <n v="-19964560.089999996"/>
    <n v="5197102.2900000028"/>
    <n v="25161662.379999999"/>
    <n v="-20042330.919999998"/>
    <n v="5119331.4600000009"/>
    <n v="25161662.379999999"/>
    <n v="-20120101.779999997"/>
    <n v="5041560.6000000015"/>
    <n v="25161662.379999999"/>
    <n v="-20197872.609999996"/>
    <n v="4963789.7700000033"/>
    <n v="25161662.379999999"/>
    <n v="-20275643.469999999"/>
    <n v="4886018.91"/>
    <n v="28806184.91"/>
    <n v="-20459712.869999997"/>
    <n v="8346472.0400000028"/>
    <n v="28806184.91"/>
    <n v="-20552669.239999998"/>
    <n v="8253515.6700000018"/>
  </r>
  <r>
    <s v="E342"/>
    <s v="Electric"/>
    <x v="1"/>
    <n v="8804404.7400000002"/>
    <n v="-704796.82"/>
    <n v="8099607.9199999999"/>
    <n v="8804404.7400000002"/>
    <n v="-734199.73"/>
    <n v="8070205.0099999998"/>
    <n v="8804404.7400000002"/>
    <n v="-763602.52"/>
    <n v="8040802.2200000007"/>
    <n v="8804404.7400000002"/>
    <n v="-793005.42"/>
    <n v="8011399.3200000003"/>
    <n v="8804404.7400000002"/>
    <n v="-822408.21000000008"/>
    <n v="7981996.5300000003"/>
    <n v="8804404.7400000002"/>
    <n v="-851811.1100000001"/>
    <n v="7952593.6299999999"/>
    <n v="8804404.7400000002"/>
    <n v="-881213.91000000015"/>
    <n v="7923190.8300000001"/>
    <n v="8804404.7400000002"/>
    <n v="-910616.99000000011"/>
    <n v="7893787.75"/>
    <n v="8804404.7400000002"/>
    <n v="-940019.80000000016"/>
    <n v="7864384.9400000004"/>
    <n v="8804404.7400000002"/>
    <n v="-969422.87000000011"/>
    <n v="7834981.8700000001"/>
    <n v="8804404.7400000002"/>
    <n v="-998825.68000000017"/>
    <n v="7805579.0600000005"/>
    <n v="8804404.7400000002"/>
    <n v="-1028228.7500000001"/>
    <n v="7776175.9900000002"/>
    <n v="8804404.7400000002"/>
    <n v="-1057631.5600000005"/>
    <n v="7746773.1799999997"/>
  </r>
  <r>
    <s v="E343"/>
    <s v="Electric"/>
    <x v="1"/>
    <n v="353074868.56"/>
    <n v="-237609800.36999997"/>
    <n v="115465068.19000003"/>
    <n v="353074868.56"/>
    <n v="-238841534.70999998"/>
    <n v="114233333.85000002"/>
    <n v="353074868.56"/>
    <n v="-240073269.03999996"/>
    <n v="113001599.52000004"/>
    <n v="353074868.56"/>
    <n v="-241305003.63"/>
    <n v="111769864.93000001"/>
    <n v="353074868.56"/>
    <n v="-242536738.07999998"/>
    <n v="110538130.48000002"/>
    <n v="353074868.56"/>
    <n v="-243768472.72999999"/>
    <n v="109306395.83000001"/>
    <n v="353074868.56"/>
    <n v="-245000207.23999998"/>
    <n v="108074661.32000002"/>
    <n v="353074868.56"/>
    <n v="-246231941.89999998"/>
    <n v="106842926.66000003"/>
    <n v="353074868.56"/>
    <n v="-247463676.77999997"/>
    <n v="105611191.78000003"/>
    <n v="353074868.56"/>
    <n v="-248695411.49999997"/>
    <n v="104379457.06000003"/>
    <n v="353074868.56"/>
    <n v="-249927146.38"/>
    <n v="103147722.18000001"/>
    <n v="353074868.56"/>
    <n v="-251027474.56999999"/>
    <n v="102047393.99000001"/>
    <n v="389964603.63999999"/>
    <n v="-258755885.01999998"/>
    <n v="131208718.62"/>
  </r>
  <r>
    <s v="E344"/>
    <s v="Electric"/>
    <x v="1"/>
    <n v="114318093.3"/>
    <n v="-19404838.870000001"/>
    <n v="94913254.429999992"/>
    <n v="114318093.3"/>
    <n v="-19858240.399999999"/>
    <n v="94459852.900000006"/>
    <n v="114318093.3"/>
    <n v="-20311641.57"/>
    <n v="94006451.729999989"/>
    <n v="114318093.3"/>
    <n v="-20765042.870000001"/>
    <n v="93553050.429999992"/>
    <n v="114318093.3"/>
    <n v="-21218444.020000003"/>
    <n v="93099649.280000001"/>
    <n v="114318093.3"/>
    <n v="-21671845.350000001"/>
    <n v="92646247.949999988"/>
    <n v="114318093.3"/>
    <n v="-22125246.719999999"/>
    <n v="92192846.579999998"/>
    <n v="114318093.3"/>
    <n v="-22578648.039999999"/>
    <n v="91739445.25999999"/>
    <n v="114318093.3"/>
    <n v="-23032049.100000001"/>
    <n v="91286044.199999988"/>
    <n v="114439453.09"/>
    <n v="-23487473.280000001"/>
    <n v="90951979.810000002"/>
    <n v="114439453.09"/>
    <n v="-23941885.640000001"/>
    <n v="90497567.450000003"/>
    <n v="114439453.09"/>
    <n v="-24396298.460000001"/>
    <n v="90043154.629999995"/>
    <n v="115204715.95"/>
    <n v="-24871196.670000002"/>
    <n v="90333519.280000001"/>
  </r>
  <r>
    <s v="E345"/>
    <s v="Electric"/>
    <x v="1"/>
    <n v="12661492.559999999"/>
    <n v="-1549258.0699999987"/>
    <n v="11112234.49"/>
    <n v="12661492.559999999"/>
    <n v="-1600856.6099999987"/>
    <n v="11060635.949999999"/>
    <n v="12661492.559999999"/>
    <n v="-1652455.5099999986"/>
    <n v="11009037.050000001"/>
    <n v="12661492.559999999"/>
    <n v="-1704054.0399999986"/>
    <n v="10957438.52"/>
    <n v="12661492.559999999"/>
    <n v="-1755653.2399999986"/>
    <n v="10905839.32"/>
    <n v="12661492.559999999"/>
    <n v="-1807251.7699999986"/>
    <n v="10854240.789999999"/>
    <n v="12661492.559999999"/>
    <n v="-1858850.9699999986"/>
    <n v="10802641.59"/>
    <n v="12661492.559999999"/>
    <n v="-1910449.4999999986"/>
    <n v="10751043.060000001"/>
    <n v="12661492.559999999"/>
    <n v="-1962048.7299999986"/>
    <n v="10699443.83"/>
    <n v="12661492.559999999"/>
    <n v="-2013647.2499999986"/>
    <n v="10647845.310000001"/>
    <n v="12641492.559999999"/>
    <n v="-2046413.1399999985"/>
    <n v="10595079.42"/>
    <n v="12641492.559999999"/>
    <n v="-2097928.3299999987"/>
    <n v="10543564.23"/>
    <n v="13595680.889999999"/>
    <n v="-2197153.6600000006"/>
    <n v="11398527.229999999"/>
  </r>
  <r>
    <s v="E346"/>
    <s v="Electric"/>
    <x v="1"/>
    <n v="24003366.319999997"/>
    <n v="-2016689.7499999995"/>
    <n v="21986676.569999997"/>
    <n v="24003366.319999997"/>
    <n v="-2117650.2999999998"/>
    <n v="21885716.019999996"/>
    <n v="24003366.319999997"/>
    <n v="-2218610.8600000003"/>
    <n v="21784755.459999997"/>
    <n v="24003366.319999997"/>
    <n v="-2319571.4200000004"/>
    <n v="21683794.899999995"/>
    <n v="24003366.319999997"/>
    <n v="-2420531.9900000002"/>
    <n v="21582834.329999998"/>
    <n v="24003366.319999997"/>
    <n v="-2521492.4400000004"/>
    <n v="21481873.879999995"/>
    <n v="24003366.319999997"/>
    <n v="-2622453.2400000002"/>
    <n v="21380913.079999998"/>
    <n v="24003366.319999997"/>
    <n v="-2723413.6900000004"/>
    <n v="21279952.629999995"/>
    <n v="24003366.319999997"/>
    <n v="-2824374.4400000004"/>
    <n v="21178991.879999995"/>
    <n v="24059045.189999998"/>
    <n v="-2927809.5100000002"/>
    <n v="21131235.679999996"/>
    <n v="24059045.189999998"/>
    <n v="-3029079.58"/>
    <n v="21029965.609999999"/>
    <n v="24059045.189999998"/>
    <n v="-3130349.34"/>
    <n v="20928695.849999998"/>
    <n v="23940746.949999999"/>
    <n v="-3127376.27"/>
    <n v="20813370.68"/>
  </r>
  <r>
    <s v="E350"/>
    <s v="Electric"/>
    <x v="2"/>
    <n v="15089020.779999999"/>
    <n v="0"/>
    <n v="15089020.779999999"/>
    <n v="15089020.779999999"/>
    <n v="0"/>
    <n v="15089020.779999999"/>
    <n v="15089020.779999999"/>
    <n v="0"/>
    <n v="15089020.779999999"/>
    <n v="15089020.779999999"/>
    <n v="0"/>
    <n v="15089020.779999999"/>
    <n v="15089020.779999999"/>
    <n v="0"/>
    <n v="15089020.779999999"/>
    <n v="15089020.779999999"/>
    <n v="0"/>
    <n v="15089020.779999999"/>
    <n v="15089020.779999999"/>
    <n v="0"/>
    <n v="15089020.779999999"/>
    <n v="15089020.779999999"/>
    <n v="0"/>
    <n v="15089020.779999999"/>
    <n v="15089020.779999999"/>
    <n v="0"/>
    <n v="15089020.779999999"/>
    <n v="15089020.779999999"/>
    <n v="0"/>
    <n v="15089020.779999999"/>
    <n v="15089020.779999999"/>
    <n v="0"/>
    <n v="15089020.779999999"/>
    <n v="15089020.779999999"/>
    <n v="0"/>
    <n v="15089020.779999999"/>
    <n v="15089020.779999999"/>
    <n v="0"/>
    <n v="15089020.779999999"/>
  </r>
  <r>
    <s v="E352"/>
    <s v="Electric"/>
    <x v="2"/>
    <n v="36418231.189999998"/>
    <n v="-4200095.72"/>
    <n v="32218135.469999999"/>
    <n v="36418231.189999998"/>
    <n v="-4269594.74"/>
    <n v="32148636.449999996"/>
    <n v="36418231.189999998"/>
    <n v="-4339093.75"/>
    <n v="32079137.439999998"/>
    <n v="36418231.189999998"/>
    <n v="-4408592.75"/>
    <n v="32009638.439999998"/>
    <n v="36418231.189999998"/>
    <n v="-4478091.78"/>
    <n v="31940139.409999996"/>
    <n v="36418231.189999998"/>
    <n v="-4547590.8000000007"/>
    <n v="31870640.389999997"/>
    <n v="36418231.189999998"/>
    <n v="-4617089.8500000006"/>
    <n v="31801141.339999996"/>
    <n v="36418231.189999998"/>
    <n v="-4686588.9000000013"/>
    <n v="31731642.289999995"/>
    <n v="36418231.189999998"/>
    <n v="-4756087.9500000011"/>
    <n v="31662143.239999995"/>
    <n v="36418231.189999998"/>
    <n v="-4825586.9800000014"/>
    <n v="31592644.209999997"/>
    <n v="36418231.189999998"/>
    <n v="-4895086.040000001"/>
    <n v="31523145.149999999"/>
    <n v="36418231.189999998"/>
    <n v="-4964585.080000001"/>
    <n v="31453646.109999996"/>
    <n v="122986122.70999998"/>
    <n v="-5161889.5700000012"/>
    <n v="117824233.13999997"/>
  </r>
  <r>
    <s v="E353"/>
    <s v="Electric"/>
    <x v="2"/>
    <n v="129562763.89"/>
    <n v="-59109713.639999993"/>
    <n v="70453050.25"/>
    <n v="129562763.89"/>
    <n v="-59414192.36999999"/>
    <n v="70148571.520000011"/>
    <n v="129562763.89"/>
    <n v="-59718671.209999993"/>
    <n v="69844092.680000007"/>
    <n v="129562763.89"/>
    <n v="-60023149.909999989"/>
    <n v="69539613.980000019"/>
    <n v="129562763.89"/>
    <n v="-60327628.749999993"/>
    <n v="69235135.140000015"/>
    <n v="129562763.89"/>
    <n v="-60632107.409999989"/>
    <n v="68930656.480000019"/>
    <n v="129562763.89"/>
    <n v="-60936586.25999999"/>
    <n v="68626177.63000001"/>
    <n v="129562763.89"/>
    <n v="-61232197.129999988"/>
    <n v="68330566.76000002"/>
    <n v="129562763.89"/>
    <n v="-61527808.409999989"/>
    <n v="68034955.480000019"/>
    <n v="129562763.89"/>
    <n v="-61823419.339999989"/>
    <n v="67739344.550000012"/>
    <n v="129562763.89"/>
    <n v="-62119030.609999992"/>
    <n v="67443733.280000001"/>
    <n v="129562763.89"/>
    <n v="-62414641.539999992"/>
    <n v="67148122.350000009"/>
    <n v="136246430.38999999"/>
    <n v="-62865031.629999988"/>
    <n v="73381398.75999999"/>
  </r>
  <r>
    <s v="E354"/>
    <s v="Electric"/>
    <x v="2"/>
    <n v="5374260.5599999996"/>
    <n v="-3520882.51"/>
    <n v="1853378.0499999998"/>
    <n v="5374260.5599999996"/>
    <n v="-3541957.11"/>
    <n v="1832303.4499999997"/>
    <n v="5374260.5599999996"/>
    <n v="-3563031.6999999997"/>
    <n v="1811228.8599999999"/>
    <n v="5374260.5599999996"/>
    <n v="-3584106.3299999996"/>
    <n v="1790154.23"/>
    <n v="5374260.5599999996"/>
    <n v="-3605180.94"/>
    <n v="1769079.6199999996"/>
    <n v="5374260.5599999996"/>
    <n v="-3626255.5599999996"/>
    <n v="1748005"/>
    <n v="5374260.5599999996"/>
    <n v="-3647330.1799999997"/>
    <n v="1726930.38"/>
    <n v="5374260.5599999996"/>
    <n v="-3668404.8299999996"/>
    <n v="1705855.73"/>
    <n v="5374260.5599999996"/>
    <n v="-3689479.4499999997"/>
    <n v="1684781.1099999999"/>
    <n v="5374260.5599999996"/>
    <n v="-3710554.11"/>
    <n v="1663706.4499999997"/>
    <n v="5374260.5599999996"/>
    <n v="-3731628.73"/>
    <n v="1642631.8299999996"/>
    <n v="5374260.5599999996"/>
    <n v="-3752703.4"/>
    <n v="1621557.1599999997"/>
    <n v="6148547.2999999998"/>
    <n v="-3773778.02"/>
    <n v="2374769.2799999998"/>
  </r>
  <r>
    <s v="E355"/>
    <s v="Electric"/>
    <x v="2"/>
    <n v="26156420.02"/>
    <n v="-21475275.949999996"/>
    <n v="4681144.070000004"/>
    <n v="26156420.02"/>
    <n v="-21499334.949999996"/>
    <n v="4657085.070000004"/>
    <n v="26156420.02"/>
    <n v="-21523393.959999997"/>
    <n v="4633026.0600000024"/>
    <n v="26156420.02"/>
    <n v="-21547452.959999997"/>
    <n v="4608967.0600000024"/>
    <n v="26156420.02"/>
    <n v="-21571511.989999995"/>
    <n v="4584908.0300000049"/>
    <n v="26156420.02"/>
    <n v="-21595570.989999995"/>
    <n v="4560849.0300000049"/>
    <n v="26156420.02"/>
    <n v="-21619630.029999997"/>
    <n v="4536789.9900000021"/>
    <n v="26156420.02"/>
    <n v="-21643689.019999996"/>
    <n v="4512731.0000000037"/>
    <n v="26156420.02"/>
    <n v="-21667748.059999995"/>
    <n v="4488671.9600000046"/>
    <n v="26156420.02"/>
    <n v="-21691807.039999995"/>
    <n v="4464612.9800000042"/>
    <n v="26156420.02"/>
    <n v="-21715866.069999997"/>
    <n v="4440553.950000003"/>
    <n v="26156420.02"/>
    <n v="-21739925.039999995"/>
    <n v="4416494.9800000042"/>
    <n v="26444675.719999999"/>
    <n v="-21794602.049999997"/>
    <n v="4650073.6700000018"/>
  </r>
  <r>
    <s v="E356"/>
    <s v="Electric"/>
    <x v="2"/>
    <n v="11328775.960000001"/>
    <n v="-6898131.5199999977"/>
    <n v="4430644.4400000032"/>
    <n v="11328775.960000001"/>
    <n v="-6920669.3099999977"/>
    <n v="4408106.6500000032"/>
    <n v="11328775.960000001"/>
    <n v="-6943207.0999999978"/>
    <n v="4385568.8600000031"/>
    <n v="11328775.960000001"/>
    <n v="-6965744.8899999978"/>
    <n v="4363031.0700000031"/>
    <n v="11328775.960000001"/>
    <n v="-6988282.6599999983"/>
    <n v="4340493.3000000026"/>
    <n v="11328775.960000001"/>
    <n v="-7010820.4699999979"/>
    <n v="4317955.490000003"/>
    <n v="11328775.960000001"/>
    <n v="-7033358.2299999977"/>
    <n v="4295417.7300000032"/>
    <n v="11328775.960000001"/>
    <n v="-7055863.299999998"/>
    <n v="4272912.6600000029"/>
    <n v="11328775.960000001"/>
    <n v="-7078368.3299999982"/>
    <n v="4250407.6300000027"/>
    <n v="11328775.960000001"/>
    <n v="-7100873.4099999983"/>
    <n v="4227902.5500000026"/>
    <n v="11328775.960000001"/>
    <n v="-7123378.4499999983"/>
    <n v="4205397.5100000026"/>
    <n v="11328775.960000001"/>
    <n v="-7145883.5399999982"/>
    <n v="4182892.4200000027"/>
    <n v="11371768.260000002"/>
    <n v="-7168388.589999998"/>
    <n v="4203379.6700000037"/>
  </r>
  <r>
    <s v="E357"/>
    <s v="Electric"/>
    <x v="2"/>
    <n v="22764649.190000001"/>
    <n v="-14871840"/>
    <n v="7892809.1900000013"/>
    <n v="22764649.190000001"/>
    <n v="-14937377.399999999"/>
    <n v="7827271.7900000028"/>
    <n v="22764649.190000001"/>
    <n v="-15002914.799999999"/>
    <n v="7761734.3900000025"/>
    <n v="22764649.190000001"/>
    <n v="-15068452.199999999"/>
    <n v="7696196.9900000021"/>
    <n v="22764649.190000001"/>
    <n v="-15133989.59"/>
    <n v="7630659.6000000015"/>
    <n v="22764649.190000001"/>
    <n v="-15199527"/>
    <n v="7565122.1900000013"/>
    <n v="22764649.190000001"/>
    <n v="-15265064.399999999"/>
    <n v="7499584.7900000028"/>
    <n v="22764649.190000001"/>
    <n v="-15330601.809999999"/>
    <n v="7434047.3800000027"/>
    <n v="22764649.190000001"/>
    <n v="-15396139.219999999"/>
    <n v="7368509.9700000025"/>
    <n v="22764649.190000001"/>
    <n v="-15461676.619999999"/>
    <n v="7302972.5700000022"/>
    <n v="22764649.190000001"/>
    <n v="-15527214.049999999"/>
    <n v="7237435.1400000025"/>
    <n v="22764649.190000001"/>
    <n v="-15592751.459999999"/>
    <n v="7171897.7300000023"/>
    <n v="22764649.190000001"/>
    <n v="-15658288.899999999"/>
    <n v="7106360.2900000028"/>
  </r>
  <r>
    <s v="E358"/>
    <s v="Electric"/>
    <x v="2"/>
    <n v="12268816.18"/>
    <n v="-10554218.349999998"/>
    <n v="1714597.8300000019"/>
    <n v="12268816.18"/>
    <n v="-10582567.399999997"/>
    <n v="1686248.7800000031"/>
    <n v="12268816.18"/>
    <n v="-10610916.439999998"/>
    <n v="1657899.7400000021"/>
    <n v="12268816.18"/>
    <n v="-10639265.509999998"/>
    <n v="1629550.6700000018"/>
    <n v="12268816.18"/>
    <n v="-10667614.569999997"/>
    <n v="1601201.6100000031"/>
    <n v="12268816.18"/>
    <n v="-10695963.619999997"/>
    <n v="1572852.5600000024"/>
    <n v="12268816.18"/>
    <n v="-10724312.679999998"/>
    <n v="1544503.5000000019"/>
    <n v="12268816.18"/>
    <n v="-10752661.729999997"/>
    <n v="1516154.450000003"/>
    <n v="12268816.18"/>
    <n v="-10781010.779999997"/>
    <n v="1487805.4000000022"/>
    <n v="12268816.18"/>
    <n v="-10809359.839999998"/>
    <n v="1459456.3400000017"/>
    <n v="12268816.18"/>
    <n v="-10837708.909999998"/>
    <n v="1431107.2700000014"/>
    <n v="12268816.18"/>
    <n v="-10866057.979999997"/>
    <n v="1402758.200000003"/>
    <n v="12268816.18"/>
    <n v="-10894407.049999997"/>
    <n v="1374409.1300000027"/>
  </r>
  <r>
    <s v="E359"/>
    <s v="Electric"/>
    <x v="2"/>
    <n v="23857.22"/>
    <n v="-23456.719999999979"/>
    <n v="400.50000000002183"/>
    <n v="23857.22"/>
    <n v="-23466.339999999978"/>
    <n v="390.88000000002285"/>
    <n v="23857.22"/>
    <n v="-23475.959999999977"/>
    <n v="381.26000000002387"/>
    <n v="23857.22"/>
    <n v="-23485.57999999998"/>
    <n v="371.64000000002125"/>
    <n v="23857.22"/>
    <n v="-23495.199999999979"/>
    <n v="362.02000000002226"/>
    <n v="23857.22"/>
    <n v="-23504.819999999978"/>
    <n v="352.40000000002328"/>
    <n v="23857.22"/>
    <n v="-23514.429999999978"/>
    <n v="342.7900000000227"/>
    <n v="23857.22"/>
    <n v="-23523.939999999977"/>
    <n v="333.2800000000243"/>
    <n v="23857.22"/>
    <n v="-23533.449999999979"/>
    <n v="323.77000000002226"/>
    <n v="23857.22"/>
    <n v="-23542.959999999977"/>
    <n v="314.26000000002387"/>
    <n v="23857.22"/>
    <n v="-23552.459999999977"/>
    <n v="304.76000000002387"/>
    <n v="23857.22"/>
    <n v="-23561.969999999979"/>
    <n v="295.25000000002183"/>
    <n v="23857.22"/>
    <n v="-23571.479999999978"/>
    <n v="285.74000000002343"/>
  </r>
  <r>
    <s v="E360"/>
    <s v="Electric"/>
    <x v="3"/>
    <n v="3428458.71"/>
    <n v="0"/>
    <n v="3428458.71"/>
    <n v="3428458.71"/>
    <n v="0"/>
    <n v="3428458.71"/>
    <n v="3428458.71"/>
    <n v="0"/>
    <n v="3428458.71"/>
    <n v="3428458.71"/>
    <n v="0"/>
    <n v="3428458.71"/>
    <n v="3428458.71"/>
    <n v="0"/>
    <n v="3428458.71"/>
    <n v="3428458.71"/>
    <n v="0"/>
    <n v="3428458.71"/>
    <n v="3428458.71"/>
    <n v="0"/>
    <n v="3428458.71"/>
    <n v="3428458.71"/>
    <n v="0"/>
    <n v="3428458.71"/>
    <n v="3428458.71"/>
    <n v="0"/>
    <n v="3428458.71"/>
    <n v="3428458.71"/>
    <n v="0"/>
    <n v="3428458.71"/>
    <n v="3428458.71"/>
    <n v="0"/>
    <n v="3428458.71"/>
    <n v="3428458.71"/>
    <n v="0"/>
    <n v="3428458.71"/>
    <n v="3428458.71"/>
    <n v="0"/>
    <n v="3428458.71"/>
  </r>
  <r>
    <s v="E361"/>
    <s v="Electric"/>
    <x v="3"/>
    <n v="30802959.599999998"/>
    <n v="-18019406.84"/>
    <n v="12783552.759999998"/>
    <n v="30802959.599999998"/>
    <n v="-18077499.390000001"/>
    <n v="12725460.209999997"/>
    <n v="30802959.599999998"/>
    <n v="-18135591.93"/>
    <n v="12667367.669999998"/>
    <n v="30802959.599999998"/>
    <n v="-18193684.48"/>
    <n v="12609275.119999997"/>
    <n v="30802959.599999998"/>
    <n v="-18251777.030000001"/>
    <n v="12551182.569999997"/>
    <n v="30802959.599999998"/>
    <n v="-18309869.580000002"/>
    <n v="12493090.019999996"/>
    <n v="30802959.599999998"/>
    <n v="-18367962.129999999"/>
    <n v="12434997.469999999"/>
    <n v="30802959.599999998"/>
    <n v="-18425331.629999999"/>
    <n v="12377627.969999999"/>
    <n v="30802959.599999998"/>
    <n v="-18482701.100000001"/>
    <n v="12320258.499999996"/>
    <n v="30802959.599999998"/>
    <n v="-18540070.600000001"/>
    <n v="12262888.999999996"/>
    <n v="30802959.599999998"/>
    <n v="-18597440.07"/>
    <n v="12205519.529999997"/>
    <n v="30802959.599999998"/>
    <n v="-18654809.580000002"/>
    <n v="12148150.019999996"/>
    <n v="30805501.459999997"/>
    <n v="-18712179.060000002"/>
    <n v="12093322.399999995"/>
  </r>
  <r>
    <s v="E362"/>
    <s v="Electric"/>
    <x v="3"/>
    <n v="154787912.92000002"/>
    <n v="-89298338.710000023"/>
    <n v="65489574.209999993"/>
    <n v="154787912.92000002"/>
    <n v="-89702731.930000022"/>
    <n v="65085180.989999995"/>
    <n v="154787912.92000002"/>
    <n v="-90107125.14000003"/>
    <n v="64680787.779999986"/>
    <n v="154787912.92000002"/>
    <n v="-90511518.420000017"/>
    <n v="64276394.5"/>
    <n v="154787912.92000002"/>
    <n v="-90915911.610000029"/>
    <n v="63872001.309999987"/>
    <n v="154787912.92000002"/>
    <n v="-91320304.920000017"/>
    <n v="63467608"/>
    <n v="154787912.92000002"/>
    <n v="-91724698.190000027"/>
    <n v="63063214.729999989"/>
    <n v="154787912.92000002"/>
    <n v="-92120963.580000028"/>
    <n v="62666949.339999989"/>
    <n v="154787912.92000002"/>
    <n v="-92517228.940000027"/>
    <n v="62270683.979999989"/>
    <n v="154787912.92000002"/>
    <n v="-92913494.25000003"/>
    <n v="61874418.669999987"/>
    <n v="154787912.92000002"/>
    <n v="-93309759.590000018"/>
    <n v="61478153.329999998"/>
    <n v="154787912.92000002"/>
    <n v="-93706024.930000022"/>
    <n v="61081887.989999995"/>
    <n v="156646049.97999999"/>
    <n v="-94102290.210000023"/>
    <n v="62543759.769999966"/>
  </r>
  <r>
    <s v="E363"/>
    <s v="Electric"/>
    <x v="3"/>
    <n v="2102488.11"/>
    <n v="-1250876.9799999995"/>
    <n v="851611.13000000035"/>
    <n v="2102488.11"/>
    <n v="-1254985.3899999994"/>
    <n v="847502.72000000044"/>
    <n v="2102488.11"/>
    <n v="-1259093.7999999993"/>
    <n v="843394.31000000052"/>
    <n v="2102488.11"/>
    <n v="-1263202.2099999995"/>
    <n v="839285.90000000037"/>
    <n v="2102488.11"/>
    <n v="-1267310.6299999994"/>
    <n v="835177.48000000045"/>
    <n v="2102488.11"/>
    <n v="-1271419.0499999993"/>
    <n v="831069.06000000052"/>
    <n v="2102488.11"/>
    <n v="-1275527.4799999995"/>
    <n v="826960.63000000035"/>
    <n v="2102488.11"/>
    <n v="-1279635.8999999994"/>
    <n v="822852.21000000043"/>
    <n v="2102488.11"/>
    <n v="-1283744.3299999994"/>
    <n v="818743.78000000049"/>
    <n v="2102488.11"/>
    <n v="-1287852.7599999995"/>
    <n v="814635.35000000033"/>
    <n v="2102488.11"/>
    <n v="-1291961.1799999995"/>
    <n v="810526.9300000004"/>
    <n v="2102488.11"/>
    <n v="-1296069.6099999994"/>
    <n v="806418.50000000047"/>
    <n v="2222867.44"/>
    <n v="-1300178.0499999996"/>
    <n v="922689.39000000036"/>
  </r>
  <r>
    <s v="E364"/>
    <s v="Electric"/>
    <x v="3"/>
    <n v="94638276.829999998"/>
    <n v="-68835607.650000021"/>
    <n v="25802669.179999977"/>
    <n v="94638276.829999998"/>
    <n v="-69035436.230000004"/>
    <n v="25602840.599999994"/>
    <n v="94638276.829999998"/>
    <n v="-69235264.840000004"/>
    <n v="25403011.989999995"/>
    <n v="94638276.829999998"/>
    <n v="-69435093.409999996"/>
    <n v="25203183.420000002"/>
    <n v="94638276.829999998"/>
    <n v="-69634921.960000008"/>
    <n v="25003354.86999999"/>
    <n v="94638276.829999998"/>
    <n v="-69834750.520000011"/>
    <n v="24803526.309999987"/>
    <n v="94638276.829999998"/>
    <n v="-70034579"/>
    <n v="24603697.829999998"/>
    <n v="94638276.829999998"/>
    <n v="-70234407.530000001"/>
    <n v="24403869.299999997"/>
    <n v="94638276.829999998"/>
    <n v="-70434236.030000016"/>
    <n v="24204040.799999982"/>
    <n v="94638276.829999998"/>
    <n v="-70634064.460000008"/>
    <n v="24004212.36999999"/>
    <n v="94638276.829999998"/>
    <n v="-70833892.980000004"/>
    <n v="23804383.849999994"/>
    <n v="94638276.829999998"/>
    <n v="-71033721.429999992"/>
    <n v="23604555.400000006"/>
    <n v="97020595.609999999"/>
    <n v="-71233549.909999982"/>
    <n v="25787045.700000018"/>
  </r>
  <r>
    <s v="E365"/>
    <s v="Electric"/>
    <x v="3"/>
    <n v="57085790.529999994"/>
    <n v="-38390083.170000002"/>
    <n v="18695707.359999992"/>
    <n v="57085790.529999994"/>
    <n v="-38481134.25"/>
    <n v="18604656.279999994"/>
    <n v="57085790.529999994"/>
    <n v="-38572185.289999999"/>
    <n v="18513605.239999995"/>
    <n v="57085790.529999994"/>
    <n v="-38663236.32"/>
    <n v="18422554.209999993"/>
    <n v="57085790.529999994"/>
    <n v="-38754287.359999999"/>
    <n v="18331503.169999994"/>
    <n v="57085790.529999994"/>
    <n v="-38845338.490000002"/>
    <n v="18240452.039999992"/>
    <n v="57085790.529999994"/>
    <n v="-38936389.670000002"/>
    <n v="18149400.859999992"/>
    <n v="57085790.529999994"/>
    <n v="-39022492.170000002"/>
    <n v="18063298.359999992"/>
    <n v="57085790.529999994"/>
    <n v="-39108594.710000001"/>
    <n v="17977195.819999993"/>
    <n v="57092839.449999988"/>
    <n v="-39194855.770000003"/>
    <n v="17897983.679999985"/>
    <n v="57092839.449999988"/>
    <n v="-39280975.980000004"/>
    <n v="17811863.469999984"/>
    <n v="57092839.449999988"/>
    <n v="-39367096.120000005"/>
    <n v="17725743.329999983"/>
    <n v="58084135.459999993"/>
    <n v="-39453216.420000002"/>
    <n v="18630919.039999992"/>
  </r>
  <r>
    <s v="E366"/>
    <s v="Electric"/>
    <x v="3"/>
    <n v="317880498.25"/>
    <n v="-186135270.72999993"/>
    <n v="131745227.52000007"/>
    <n v="317880498.25"/>
    <n v="-186850134.18999994"/>
    <n v="131030364.06000006"/>
    <n v="317880498.25"/>
    <n v="-187564997.56999993"/>
    <n v="130315500.68000007"/>
    <n v="317880498.25"/>
    <n v="-188279860.98999995"/>
    <n v="129600637.26000005"/>
    <n v="317880498.25"/>
    <n v="-188994724.40999994"/>
    <n v="128885773.84000006"/>
    <n v="317880498.25"/>
    <n v="-189709587.76999995"/>
    <n v="128170910.48000005"/>
    <n v="317880498.25"/>
    <n v="-190424451.30999994"/>
    <n v="127456046.94000006"/>
    <n v="317880498.25"/>
    <n v="-191123118.03999993"/>
    <n v="126757380.21000007"/>
    <n v="317880498.25"/>
    <n v="-191821784.89999995"/>
    <n v="126058713.35000005"/>
    <n v="318411227.94999999"/>
    <n v="-192534052.14999995"/>
    <n v="125877175.80000004"/>
    <n v="318411227.94999999"/>
    <n v="-193234230.23999995"/>
    <n v="125176997.71000004"/>
    <n v="318411227.94999999"/>
    <n v="-193934408.14999995"/>
    <n v="124476819.80000004"/>
    <n v="335113264.17000002"/>
    <n v="-194688815.26999995"/>
    <n v="140424448.90000007"/>
  </r>
  <r>
    <s v="E367"/>
    <s v="Electric"/>
    <x v="3"/>
    <n v="336150823.79000002"/>
    <n v="-171735735.14999992"/>
    <n v="164415088.6400001"/>
    <n v="336150823.79000002"/>
    <n v="-172522158.32999992"/>
    <n v="163628665.4600001"/>
    <n v="336150823.79000002"/>
    <n v="-173308581.49999991"/>
    <n v="162842242.29000011"/>
    <n v="336150823.79000002"/>
    <n v="-174095004.68999991"/>
    <n v="162055819.10000011"/>
    <n v="336150823.79000002"/>
    <n v="-174881427.90999991"/>
    <n v="161269395.88000011"/>
    <n v="336150823.79000002"/>
    <n v="-175667851.11999992"/>
    <n v="160482972.67000011"/>
    <n v="336150823.79000002"/>
    <n v="-176454274.3499999"/>
    <n v="159696549.44000012"/>
    <n v="336150823.79000002"/>
    <n v="-177226451.54999992"/>
    <n v="158924372.2400001"/>
    <n v="336150823.79000002"/>
    <n v="-177998628.75999993"/>
    <n v="158152195.03000009"/>
    <n v="336172398.80000001"/>
    <n v="-178771291.39999992"/>
    <n v="157401107.4000001"/>
    <n v="336172398.80000001"/>
    <n v="-179543522.55999991"/>
    <n v="156628876.2400001"/>
    <n v="336172398.80000001"/>
    <n v="-180315753.71999991"/>
    <n v="155856645.0800001"/>
    <n v="357104634.07000005"/>
    <n v="-181087984.81999993"/>
    <n v="176016649.25000012"/>
  </r>
  <r>
    <s v="E368"/>
    <s v="Electric"/>
    <x v="3"/>
    <n v="118982793.64"/>
    <n v="-67462512.239999995"/>
    <n v="51520281.400000006"/>
    <n v="118982793.64"/>
    <n v="-67725820.260000005"/>
    <n v="51256973.379999995"/>
    <n v="118982793.64"/>
    <n v="-67989128.260000005"/>
    <n v="50993665.379999995"/>
    <n v="118982793.64"/>
    <n v="-68252436.219999999"/>
    <n v="50730357.420000002"/>
    <n v="118982793.64"/>
    <n v="-68515744.459999993"/>
    <n v="50467049.180000007"/>
    <n v="118982793.64"/>
    <n v="-68779052.489999995"/>
    <n v="50203741.150000006"/>
    <n v="118982793.64"/>
    <n v="-69042360.790000007"/>
    <n v="49940432.849999994"/>
    <n v="118982793.64"/>
    <n v="-69298714.980000004"/>
    <n v="49684078.659999996"/>
    <n v="118982793.64"/>
    <n v="-69555069.359999999"/>
    <n v="49427724.280000001"/>
    <n v="118992318.22"/>
    <n v="-69811637.809999987"/>
    <n v="49180680.410000011"/>
    <n v="118992318.22"/>
    <n v="-70068016.049999997"/>
    <n v="48924302.170000002"/>
    <n v="118992318.22"/>
    <n v="-70324394"/>
    <n v="48667924.219999999"/>
    <n v="119685281.43000001"/>
    <n v="-70582909.399999991"/>
    <n v="49102372.030000016"/>
  </r>
  <r>
    <s v="E369"/>
    <s v="Electric"/>
    <x v="3"/>
    <n v="89598556.519999981"/>
    <n v="-70092337.689999968"/>
    <n v="19506218.830000013"/>
    <n v="89598556.519999981"/>
    <n v="-70248690.669999972"/>
    <n v="19349865.850000009"/>
    <n v="89598556.519999981"/>
    <n v="-70405043.61999996"/>
    <n v="19193512.900000021"/>
    <n v="89598556.519999981"/>
    <n v="-70561396.539999962"/>
    <n v="19037159.980000019"/>
    <n v="89598556.519999981"/>
    <n v="-70717749.459999964"/>
    <n v="18880807.060000017"/>
    <n v="89598556.519999981"/>
    <n v="-70874102.379999965"/>
    <n v="18724454.140000015"/>
    <n v="89598556.519999981"/>
    <n v="-71030455.349999964"/>
    <n v="18568101.170000017"/>
    <n v="89598556.519999981"/>
    <n v="-71186808.289999962"/>
    <n v="18411748.230000019"/>
    <n v="89598556.519999981"/>
    <n v="-71343161.219999969"/>
    <n v="18255395.300000012"/>
    <n v="89598556.519999981"/>
    <n v="-71499514.169999957"/>
    <n v="18099042.350000024"/>
    <n v="89598556.519999981"/>
    <n v="-71655867.129999965"/>
    <n v="17942689.390000015"/>
    <n v="89598556.519999981"/>
    <n v="-71812220.059999958"/>
    <n v="17786336.460000023"/>
    <n v="92634535.709999979"/>
    <n v="-71968573.029999956"/>
    <n v="20665962.680000022"/>
  </r>
  <r>
    <s v="E370"/>
    <s v="Electric"/>
    <x v="3"/>
    <n v="86762168.370000005"/>
    <n v="-40341431.059999987"/>
    <n v="46420737.310000017"/>
    <n v="86762168.370000005"/>
    <n v="-40657175.54999999"/>
    <n v="46104992.820000015"/>
    <n v="86762168.370000005"/>
    <n v="-40972920.079999991"/>
    <n v="45789248.290000014"/>
    <n v="86762168.370000005"/>
    <n v="-41288664.54999999"/>
    <n v="45473503.820000015"/>
    <n v="86752865.870000005"/>
    <n v="-41597873.929999985"/>
    <n v="45154991.94000002"/>
    <n v="86752865.870000005"/>
    <n v="-41913579.61999999"/>
    <n v="44839286.250000015"/>
    <n v="86752865.870000005"/>
    <n v="-42229285.379999988"/>
    <n v="44523580.490000017"/>
    <n v="86752865.870000005"/>
    <n v="-42544991.089999989"/>
    <n v="44207874.780000016"/>
    <n v="86752865.870000005"/>
    <n v="-42860696.829999991"/>
    <n v="43892169.040000014"/>
    <n v="86752865.870000005"/>
    <n v="-43176402.579999983"/>
    <n v="43576463.290000021"/>
    <n v="86752865.870000005"/>
    <n v="-43492108.289999992"/>
    <n v="43260757.580000013"/>
    <n v="86752865.870000005"/>
    <n v="-43807814.089999989"/>
    <n v="42945051.780000016"/>
    <n v="88148768.24000001"/>
    <n v="-44123519.769999988"/>
    <n v="44025248.470000021"/>
  </r>
  <r>
    <s v="E371"/>
    <s v="Electric"/>
    <x v="3"/>
    <n v="489091.36"/>
    <n v="-489091.35999999993"/>
    <n v="0"/>
    <n v="489091.36"/>
    <n v="-489091.35999999993"/>
    <n v="0"/>
    <n v="489091.36"/>
    <n v="-489091.35999999993"/>
    <n v="0"/>
    <n v="489091.36"/>
    <n v="-489091.35999999993"/>
    <n v="0"/>
    <n v="489091.36"/>
    <n v="-489091.35999999993"/>
    <n v="0"/>
    <n v="489091.36"/>
    <n v="-489091.35999999993"/>
    <n v="0"/>
    <n v="489091.36"/>
    <n v="-489091.35999999993"/>
    <n v="0"/>
    <n v="489091.36"/>
    <n v="-489091.35999999993"/>
    <n v="0"/>
    <n v="489091.36"/>
    <n v="-489091.35999999993"/>
    <n v="0"/>
    <n v="489091.36"/>
    <n v="-489091.35999999993"/>
    <n v="0"/>
    <n v="489091.36"/>
    <n v="-489091.35999999993"/>
    <n v="0"/>
    <n v="489091.36"/>
    <n v="-489091.35999999993"/>
    <n v="0"/>
    <n v="489091.36"/>
    <n v="-489091.35999999993"/>
    <n v="0"/>
  </r>
  <r>
    <s v="E373"/>
    <s v="Electric"/>
    <x v="3"/>
    <n v="10961083.719999999"/>
    <n v="-5788872.1100000003"/>
    <n v="5172211.6099999985"/>
    <n v="10961083.719999999"/>
    <n v="-5822044.6100000003"/>
    <n v="5139039.1099999985"/>
    <n v="10961083.719999999"/>
    <n v="-5855217.0800000001"/>
    <n v="5105866.6399999987"/>
    <n v="10961083.719999999"/>
    <n v="-5888389.5900000008"/>
    <n v="5072694.129999998"/>
    <n v="10961083.719999999"/>
    <n v="-5921562.0300000003"/>
    <n v="5039521.6899999985"/>
    <n v="10961083.719999999"/>
    <n v="-5954734.5500000007"/>
    <n v="5006349.1699999981"/>
    <n v="10961083.719999999"/>
    <n v="-5987906.9200000009"/>
    <n v="4973176.799999998"/>
    <n v="10961083.719999999"/>
    <n v="-6020946.3100000005"/>
    <n v="4940137.4099999983"/>
    <n v="10961083.719999999"/>
    <n v="-6053985.540000001"/>
    <n v="4907098.1799999978"/>
    <n v="10961083.719999999"/>
    <n v="-6087024.8900000006"/>
    <n v="4874058.8299999982"/>
    <n v="10961083.719999999"/>
    <n v="-6120064.120000001"/>
    <n v="4841019.5999999978"/>
    <n v="10961083.719999999"/>
    <n v="-6153103.4800000004"/>
    <n v="4807980.2399999984"/>
    <n v="11254497.169999998"/>
    <n v="-6186142.6800000006"/>
    <n v="5068354.4899999974"/>
  </r>
  <r>
    <s v="S373"/>
    <s v="Streetlights"/>
    <x v="3"/>
    <n v="56951291.870000005"/>
    <n v="-38452520.929999992"/>
    <n v="18498770.940000013"/>
    <n v="56951291.870000005"/>
    <n v="-38579649.889999993"/>
    <n v="18371641.980000012"/>
    <n v="56951291.870000005"/>
    <n v="-38706778.859999992"/>
    <n v="18244513.010000013"/>
    <n v="56951291.870000005"/>
    <n v="-38833907.839999996"/>
    <n v="18117384.030000009"/>
    <n v="56951291.870000005"/>
    <n v="-38961036.769999996"/>
    <n v="17990255.100000009"/>
    <n v="56951291.870000005"/>
    <n v="-39088165.769999996"/>
    <n v="17863126.100000009"/>
    <n v="56951291.870000005"/>
    <n v="-39215294.669999994"/>
    <n v="17735997.20000001"/>
    <n v="56951291.870000005"/>
    <n v="-39340190.469999999"/>
    <n v="17611101.400000006"/>
    <n v="56951291.870000005"/>
    <n v="-39465086.189999998"/>
    <n v="17486205.680000007"/>
    <n v="56951291.870000005"/>
    <n v="-39589982.009999998"/>
    <n v="17361309.860000007"/>
    <n v="56951291.870000005"/>
    <n v="-39714877.719999999"/>
    <n v="17236414.150000006"/>
    <n v="56951291.870000005"/>
    <n v="-39839773.609999992"/>
    <n v="17111518.260000013"/>
    <n v="59713079.900000006"/>
    <n v="-39964669.309999995"/>
    <n v="19748410.590000011"/>
  </r>
  <r>
    <s v="E388"/>
    <s v="Electric"/>
    <x v="4"/>
    <n v="10109182.699999999"/>
    <n v="-7395825.8199999994"/>
    <n v="2713356.88"/>
    <n v="10109182.699999999"/>
    <n v="-7487439.75"/>
    <n v="2621742.9499999993"/>
    <n v="10109182.699999999"/>
    <n v="-7579053.6800000006"/>
    <n v="2530129.0199999986"/>
    <n v="10109182.699999999"/>
    <n v="-7668743.5599999996"/>
    <n v="2440439.1399999997"/>
    <n v="10109182.699999999"/>
    <n v="-7758433.4699999997"/>
    <n v="2350749.2299999995"/>
    <n v="10109182.699999999"/>
    <n v="-7848123.3700000001"/>
    <n v="2261059.3299999991"/>
    <n v="10109182.699999999"/>
    <n v="-7937813.29"/>
    <n v="2171369.4099999992"/>
    <n v="10109182.699999999"/>
    <n v="-8027503.2000000002"/>
    <n v="2081679.4999999991"/>
    <n v="10109182.699999999"/>
    <n v="-8117193.1100000003"/>
    <n v="1991989.5899999989"/>
    <n v="10109182.699999999"/>
    <n v="-8206883.0100000007"/>
    <n v="1902299.6899999985"/>
    <n v="10109182.699999999"/>
    <n v="-8296572.9200000009"/>
    <n v="1812609.7799999984"/>
    <n v="10109182.699999999"/>
    <n v="-8386262.8100000005"/>
    <n v="1722919.8899999987"/>
    <n v="21064369.370000001"/>
    <n v="-9132373.6599999983"/>
    <n v="11931995.710000003"/>
  </r>
  <r>
    <s v="E389"/>
    <s v="Electric"/>
    <x v="4"/>
    <n v="2979259.8800000004"/>
    <n v="0"/>
    <n v="2979259.8800000004"/>
    <n v="2979259.8800000004"/>
    <n v="0"/>
    <n v="2979259.8800000004"/>
    <n v="2979259.8800000004"/>
    <n v="0"/>
    <n v="2979259.8800000004"/>
    <n v="2979259.8800000004"/>
    <n v="0"/>
    <n v="2979259.8800000004"/>
    <n v="2979259.8800000004"/>
    <n v="0"/>
    <n v="2979259.8800000004"/>
    <n v="2979259.8800000004"/>
    <n v="0"/>
    <n v="2979259.8800000004"/>
    <n v="2979259.8800000004"/>
    <n v="0"/>
    <n v="2979259.8800000004"/>
    <n v="2979259.8800000004"/>
    <n v="0"/>
    <n v="2979259.8800000004"/>
    <n v="2979259.8800000004"/>
    <n v="0"/>
    <n v="2979259.8800000004"/>
    <n v="2979259.8800000004"/>
    <n v="0"/>
    <n v="2979259.8800000004"/>
    <n v="2979259.8800000004"/>
    <n v="0"/>
    <n v="2979259.8800000004"/>
    <n v="2979259.8800000004"/>
    <n v="0"/>
    <n v="2979259.8800000004"/>
    <n v="2979259.8800000004"/>
    <n v="0"/>
    <n v="2979259.8800000004"/>
  </r>
  <r>
    <s v="E390"/>
    <s v="Electric"/>
    <x v="4"/>
    <n v="41126171.729999997"/>
    <n v="-12589476.449999999"/>
    <n v="28536695.279999997"/>
    <n v="41126171.729999997"/>
    <n v="-12677817.719999999"/>
    <n v="28448354.009999998"/>
    <n v="41126171.729999997"/>
    <n v="-12766159.029999999"/>
    <n v="28360012.699999996"/>
    <n v="41126171.729999997"/>
    <n v="-12854500.27"/>
    <n v="28271671.459999997"/>
    <n v="41126171.729999997"/>
    <n v="-12942841.59"/>
    <n v="28183330.139999997"/>
    <n v="41126171.729999997"/>
    <n v="-13031182.83"/>
    <n v="28094988.899999999"/>
    <n v="41126171.729999997"/>
    <n v="-13119524.119999999"/>
    <n v="28006647.609999999"/>
    <n v="41126171.729999997"/>
    <n v="-13207865.300000001"/>
    <n v="27918306.429999996"/>
    <n v="41126171.729999997"/>
    <n v="-13296206.58"/>
    <n v="27829965.149999999"/>
    <n v="41171493.489999995"/>
    <n v="-13381662.399999999"/>
    <n v="27789831.089999996"/>
    <n v="41171493.489999995"/>
    <n v="-13470066.049999999"/>
    <n v="27701427.439999998"/>
    <n v="41171493.489999995"/>
    <n v="-13558469.549999999"/>
    <n v="27613023.939999998"/>
    <n v="111337498.86000001"/>
    <n v="-13757820.799999999"/>
    <n v="97579678.060000017"/>
  </r>
  <r>
    <s v="E391"/>
    <s v="Electric"/>
    <x v="4"/>
    <n v="4361861.45"/>
    <n v="-4348551.1200000038"/>
    <n v="13310.329999996349"/>
    <n v="4361861.45"/>
    <n v="-4348684.2300000042"/>
    <n v="13177.219999996014"/>
    <n v="4361861.45"/>
    <n v="-4348817.3300000038"/>
    <n v="13044.119999996386"/>
    <n v="4361861.45"/>
    <n v="-4348950.4400000041"/>
    <n v="12911.009999996051"/>
    <n v="4361861.45"/>
    <n v="-4349083.5400000038"/>
    <n v="12777.909999996424"/>
    <n v="4361861.45"/>
    <n v="-4349216.6500000041"/>
    <n v="12644.799999996088"/>
    <n v="4361861.45"/>
    <n v="-4349349.7500000037"/>
    <n v="12511.699999996461"/>
    <n v="4361861.45"/>
    <n v="-4349482.8600000041"/>
    <n v="12378.589999996126"/>
    <n v="4361861.45"/>
    <n v="-4349615.9500000039"/>
    <n v="12245.499999996275"/>
    <n v="4361861.45"/>
    <n v="-4349749.0600000042"/>
    <n v="12112.389999995939"/>
    <n v="4361861.45"/>
    <n v="-4349882.1500000041"/>
    <n v="11979.299999996088"/>
    <n v="4361861.45"/>
    <n v="-4350015.2600000044"/>
    <n v="11846.189999995753"/>
    <n v="4361861.45"/>
    <n v="-4350148.3500000043"/>
    <n v="11713.099999995902"/>
  </r>
  <r>
    <s v="E392"/>
    <s v="Electric"/>
    <x v="4"/>
    <n v="38938935.25"/>
    <n v="-30656665.539999995"/>
    <n v="8282269.7100000046"/>
    <n v="38850928.359999999"/>
    <n v="-30792867.999999996"/>
    <n v="8058060.3600000031"/>
    <n v="38546481.210000001"/>
    <n v="-30707078.569999997"/>
    <n v="7839402.6400000043"/>
    <n v="38510159.380000003"/>
    <n v="-30885949.049999997"/>
    <n v="7624210.3300000057"/>
    <n v="38510159.380000003"/>
    <n v="-31089352.529999997"/>
    <n v="7420806.8500000052"/>
    <n v="38481746.800000004"/>
    <n v="-31244373.449999999"/>
    <n v="7237373.3500000052"/>
    <n v="38481746.800000004"/>
    <n v="-31425848.569999997"/>
    <n v="7055898.2300000079"/>
    <n v="38375625.880000003"/>
    <n v="-31500882.739999998"/>
    <n v="6874743.1400000043"/>
    <n v="41369536.130000003"/>
    <n v="-31533534.509999998"/>
    <n v="9836001.6200000048"/>
    <n v="41145058.490000002"/>
    <n v="-31534814.359999996"/>
    <n v="9610244.1300000064"/>
    <n v="40580064.149999999"/>
    <n v="-31195577.299999997"/>
    <n v="9384486.8500000015"/>
    <n v="42054726.050000004"/>
    <n v="-31453574.189999998"/>
    <n v="10601151.860000007"/>
    <n v="41837043.109999999"/>
    <n v="-31480951.009999998"/>
    <n v="10356092.100000001"/>
  </r>
  <r>
    <s v="E393"/>
    <s v="Electric"/>
    <x v="4"/>
    <n v="324648.67"/>
    <n v="-324648.67"/>
    <n v="0"/>
    <n v="324648.67"/>
    <n v="-324648.67"/>
    <n v="0"/>
    <n v="324648.67"/>
    <n v="-324648.67"/>
    <n v="0"/>
    <n v="324648.67"/>
    <n v="-324648.67"/>
    <n v="0"/>
    <n v="324648.67"/>
    <n v="-324648.67"/>
    <n v="0"/>
    <n v="324648.67"/>
    <n v="-324648.67"/>
    <n v="0"/>
    <n v="324648.67"/>
    <n v="-324648.67"/>
    <n v="0"/>
    <n v="324648.67"/>
    <n v="-324648.67"/>
    <n v="0"/>
    <n v="324648.67"/>
    <n v="-324648.67"/>
    <n v="0"/>
    <n v="324648.67"/>
    <n v="-324648.67"/>
    <n v="0"/>
    <n v="324648.67"/>
    <n v="-324648.67"/>
    <n v="0"/>
    <n v="324648.67"/>
    <n v="-324648.67"/>
    <n v="0"/>
    <n v="324648.67"/>
    <n v="-324648.67"/>
    <n v="0"/>
  </r>
  <r>
    <s v="E394"/>
    <s v="Electric"/>
    <x v="4"/>
    <n v="10570746.01"/>
    <n v="-9683171.7599999979"/>
    <n v="887574.25000000186"/>
    <n v="10570746.01"/>
    <n v="-9692157.8999999985"/>
    <n v="878588.11000000127"/>
    <n v="10570746.01"/>
    <n v="-9701144.0399999991"/>
    <n v="869601.97000000067"/>
    <n v="10570746.01"/>
    <n v="-9710130.1899999976"/>
    <n v="860615.82000000216"/>
    <n v="10570746.01"/>
    <n v="-9719116.339999998"/>
    <n v="851629.67000000179"/>
    <n v="10570746.01"/>
    <n v="-9728102.4899999984"/>
    <n v="842643.52000000142"/>
    <n v="10570746.01"/>
    <n v="-9737088.5999999978"/>
    <n v="833657.41000000201"/>
    <n v="10570746.01"/>
    <n v="-9746074.7499999981"/>
    <n v="824671.26000000164"/>
    <n v="10570746.01"/>
    <n v="-9755060.8599999975"/>
    <n v="815685.15000000224"/>
    <n v="10570746.01"/>
    <n v="-9764047.0199999977"/>
    <n v="806698.99000000209"/>
    <n v="10570746.01"/>
    <n v="-9773033.129999999"/>
    <n v="797712.88000000082"/>
    <n v="10570746.01"/>
    <n v="-9782019.2999999989"/>
    <n v="788726.71000000089"/>
    <n v="10551092.199999999"/>
    <n v="-9788405.8099999987"/>
    <n v="762686.3900000006"/>
  </r>
  <r>
    <s v="E395"/>
    <s v="Electric"/>
    <x v="4"/>
    <n v="1074434.21"/>
    <n v="-1008838.94"/>
    <n v="65595.270000000019"/>
    <n v="1074434.21"/>
    <n v="-1010163.13"/>
    <n v="64271.079999999958"/>
    <n v="1074434.21"/>
    <n v="-1011487.32"/>
    <n v="62946.890000000014"/>
    <n v="1074434.21"/>
    <n v="-1012811.51"/>
    <n v="61622.699999999953"/>
    <n v="1074434.21"/>
    <n v="-1014135.7"/>
    <n v="60298.510000000009"/>
    <n v="1074434.21"/>
    <n v="-1015459.89"/>
    <n v="58974.319999999949"/>
    <n v="1074434.21"/>
    <n v="-1016784.07"/>
    <n v="57650.140000000014"/>
    <n v="1074434.21"/>
    <n v="-1018108.26"/>
    <n v="56325.949999999953"/>
    <n v="1074434.21"/>
    <n v="-1019432.45"/>
    <n v="55001.760000000009"/>
    <n v="1074434.21"/>
    <n v="-1020756.64"/>
    <n v="53677.569999999949"/>
    <n v="1074434.21"/>
    <n v="-1022080.83"/>
    <n v="52353.380000000005"/>
    <n v="1074434.21"/>
    <n v="-1023405.01"/>
    <n v="51029.199999999953"/>
    <n v="1074434.21"/>
    <n v="-1024729.21"/>
    <n v="49705"/>
  </r>
  <r>
    <s v="E396"/>
    <s v="Electric"/>
    <x v="4"/>
    <n v="12208292.209999997"/>
    <n v="-11490105.4"/>
    <n v="718186.8099999968"/>
    <n v="12192596.209999997"/>
    <n v="-11514858.520000001"/>
    <n v="677737.68999999575"/>
    <n v="12192596.209999997"/>
    <n v="-11555307.630000001"/>
    <n v="637288.57999999635"/>
    <n v="12192596.209999997"/>
    <n v="-11595756.75"/>
    <n v="596839.45999999717"/>
    <n v="12192596.209999997"/>
    <n v="-11636205.860000001"/>
    <n v="556390.3499999959"/>
    <n v="12192596.209999997"/>
    <n v="-11676654.98"/>
    <n v="515941.22999999672"/>
    <n v="12192596.209999997"/>
    <n v="-11717104.090000002"/>
    <n v="475492.11999999546"/>
    <n v="12192596.209999997"/>
    <n v="-11757553.210000001"/>
    <n v="435042.99999999627"/>
    <n v="11688897.739999998"/>
    <n v="-11294303.840000002"/>
    <n v="394593.89999999665"/>
    <n v="11688897.739999998"/>
    <n v="-11334752.970000001"/>
    <n v="354144.76999999769"/>
    <n v="11688897.739999998"/>
    <n v="-11375202.07"/>
    <n v="313695.66999999806"/>
    <n v="11688897.739999998"/>
    <n v="-11415651.190000001"/>
    <n v="273246.54999999702"/>
    <n v="11688897.739999998"/>
    <n v="-11456100.270000001"/>
    <n v="232797.46999999695"/>
  </r>
  <r>
    <s v="E397"/>
    <s v="Electric"/>
    <x v="4"/>
    <n v="62731457.059999995"/>
    <n v="-8040007.259999997"/>
    <n v="54691449.799999997"/>
    <n v="62731457.059999995"/>
    <n v="-8354414.5999999968"/>
    <n v="54377042.460000001"/>
    <n v="62731457.059999995"/>
    <n v="-8668821.9100000057"/>
    <n v="54062635.149999991"/>
    <n v="62731457.059999995"/>
    <n v="-8983229.2500000056"/>
    <n v="53748227.809999987"/>
    <n v="62731457.059999995"/>
    <n v="-9297636.6300000045"/>
    <n v="53433820.429999992"/>
    <n v="62731457.059999995"/>
    <n v="-9612043.9700000044"/>
    <n v="53119413.089999989"/>
    <n v="62731457.059999995"/>
    <n v="-9926451.3700000048"/>
    <n v="52805005.68999999"/>
    <n v="62731457.059999995"/>
    <n v="-10240858.730000004"/>
    <n v="52490598.329999991"/>
    <n v="62731457.059999995"/>
    <n v="-10555266.130000006"/>
    <n v="52176190.929999992"/>
    <n v="62731457.059999995"/>
    <n v="-10869673.480000004"/>
    <n v="51861783.579999991"/>
    <n v="62731457.059999995"/>
    <n v="-11184080.860000005"/>
    <n v="51547376.199999988"/>
    <n v="62731457.059999995"/>
    <n v="-11498488.220000006"/>
    <n v="51232968.839999989"/>
    <n v="75274073.289999992"/>
    <n v="-11828093.030000005"/>
    <n v="63445980.25999999"/>
  </r>
  <r>
    <s v="E398"/>
    <s v="Electric"/>
    <x v="4"/>
    <n v="681053.33000000007"/>
    <n v="-527769.02"/>
    <n v="153284.31000000006"/>
    <n v="681053.33000000007"/>
    <n v="-529841.79"/>
    <n v="151211.54000000004"/>
    <n v="681053.33000000007"/>
    <n v="-531914.58000000007"/>
    <n v="149138.75"/>
    <n v="681053.33000000007"/>
    <n v="-533987.35000000009"/>
    <n v="147065.97999999998"/>
    <n v="681053.33000000007"/>
    <n v="-536060.15"/>
    <n v="144993.18000000005"/>
    <n v="681053.33000000007"/>
    <n v="-538132.92000000004"/>
    <n v="142920.41000000003"/>
    <n v="681053.33000000007"/>
    <n v="-540205.72"/>
    <n v="140847.6100000001"/>
    <n v="681053.33000000007"/>
    <n v="-542278.49"/>
    <n v="138774.84000000008"/>
    <n v="681053.33000000007"/>
    <n v="-544351.29"/>
    <n v="136702.04000000004"/>
    <n v="681053.33000000007"/>
    <n v="-546424.05999999994"/>
    <n v="134629.27000000014"/>
    <n v="681053.33000000007"/>
    <n v="-548496.86"/>
    <n v="132556.47000000009"/>
    <n v="681053.33000000007"/>
    <n v="-550569.63"/>
    <n v="130483.70000000007"/>
    <n v="681053.33000000007"/>
    <n v="-552642.43000000005"/>
    <n v="128410.90000000002"/>
  </r>
  <r>
    <s v="E399"/>
    <s v="Electric"/>
    <x v="4"/>
    <n v="18398999.690000001"/>
    <n v="-18398999.690000005"/>
    <n v="0"/>
    <n v="18398999.690000001"/>
    <n v="-18398999.690000005"/>
    <n v="0"/>
    <n v="18398999.690000001"/>
    <n v="-18398999.690000005"/>
    <n v="0"/>
    <n v="18398999.690000001"/>
    <n v="-18398999.690000005"/>
    <n v="0"/>
    <n v="18398999.690000001"/>
    <n v="-18398999.690000005"/>
    <n v="0"/>
    <n v="18398999.690000001"/>
    <n v="-18398999.690000005"/>
    <n v="0"/>
    <n v="18398999.690000001"/>
    <n v="-18398999.690000005"/>
    <n v="0"/>
    <n v="18398999.690000001"/>
    <n v="-18398999.690000005"/>
    <n v="0"/>
    <n v="18398999.690000001"/>
    <n v="-18398999.690000005"/>
    <n v="0"/>
    <n v="18398999.690000001"/>
    <n v="-18398999.690000005"/>
    <n v="0"/>
    <n v="18398999.690000001"/>
    <n v="-18398999.690000005"/>
    <n v="0"/>
    <n v="18398999.690000001"/>
    <n v="-18398999.690000005"/>
    <n v="0"/>
    <n v="18398999.690000001"/>
    <n v="-18398999.690000005"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4">
  <r>
    <s v="(a)"/>
    <x v="0"/>
    <s v="(c)"/>
    <s v="(d)"/>
    <s v="(e)"/>
    <s v="(f)"/>
  </r>
  <r>
    <m/>
    <x v="1"/>
    <m/>
    <m/>
    <m/>
    <m/>
  </r>
  <r>
    <n v="1"/>
    <x v="2"/>
    <s v="180333 - Electric Vehicles &amp; Equip"/>
    <n v="1500000"/>
    <n v="1600241.32"/>
    <n v="3100241.3200000003"/>
  </r>
  <r>
    <n v="2"/>
    <x v="3"/>
    <s v="193406 - Elect Trans Infrast Corr Maint"/>
    <n v="249000"/>
    <n v="337640.45"/>
    <n v="586640.44999999995"/>
  </r>
  <r>
    <n v="3"/>
    <x v="4"/>
    <s v="180286 - Elect OH Infrast Corr Maint"/>
    <n v="1354000"/>
    <n v="1274404.47"/>
    <n v="2628404.4699999997"/>
  </r>
  <r>
    <n v="4"/>
    <x v="4"/>
    <s v="192931 - CMD Strtlght Rpl-Outside City"/>
    <n v="9900"/>
    <n v="13199.73"/>
    <n v="23099.73"/>
  </r>
  <r>
    <n v="5"/>
    <x v="4"/>
    <s v="193224 - Elect UG Infrast Prev Maint"/>
    <n v="3850000"/>
    <n v="1394509.48"/>
    <n v="5244509.4800000004"/>
  </r>
  <r>
    <n v="6"/>
    <x v="4"/>
    <s v="180331 - Elect UG Infrast Corr Maint"/>
    <n v="3150000"/>
    <n v="3526649.45"/>
    <n v="6676649.4500000002"/>
  </r>
  <r>
    <n v="7"/>
    <x v="2"/>
    <s v="180332 - Electric Tools &amp; Equip"/>
    <n v="50000"/>
    <n v="271587"/>
    <n v="321587"/>
  </r>
  <r>
    <n v="8"/>
    <x v="2"/>
    <s v="193952 - Operational Fiber Network"/>
    <n v="73151230"/>
    <n v="8448453.2300000004"/>
    <n v="81599683.230000004"/>
  </r>
  <r>
    <n v="9"/>
    <x v="2"/>
    <s v="194190 - Network Transport Service Relocation Project"/>
    <n v="23778"/>
    <n v="10714.8"/>
    <n v="34492.800000000003"/>
  </r>
  <r>
    <n v="10"/>
    <x v="4"/>
    <s v="180449 - Substation Equipment Replace"/>
    <n v="0"/>
    <n v="1451516.72"/>
    <n v="1451516.72"/>
  </r>
  <r>
    <n v="11"/>
    <x v="2"/>
    <s v="193775 - Top Tier Substation Hardening"/>
    <n v="576068"/>
    <n v="442911.37"/>
    <n v="1018979.37"/>
  </r>
  <r>
    <n v="12"/>
    <x v="4"/>
    <s v="194046 - Pwrs Sub Trnsfrmr Swtchgr Rplc"/>
    <n v="1658952"/>
    <n v="764866.34"/>
    <n v="2423818.34"/>
  </r>
  <r>
    <n v="13"/>
    <x v="4"/>
    <s v="194154 - Substations Power Transformer Purchases"/>
    <n v="4307856"/>
    <n v="951.12"/>
    <n v="4308807.12"/>
  </r>
  <r>
    <n v="14"/>
    <x v="2"/>
    <s v="194207 - ITOA Electric"/>
    <n v="312400"/>
    <n v="50596.959999999999"/>
    <n v="362996.96"/>
  </r>
  <r>
    <n v="15"/>
    <x v="4"/>
    <s v="193079 - Arc Flash Mitigation"/>
    <n v="165410"/>
    <n v="0"/>
    <n v="165410"/>
  </r>
  <r>
    <n v="16"/>
    <x v="3"/>
    <s v="193225 - RIC Equipment Replacement"/>
    <n v="237778"/>
    <n v="32564.37"/>
    <n v="270342.37"/>
  </r>
  <r>
    <n v="17"/>
    <x v="4"/>
    <s v="192347 - Electric Meters - Op Base Req"/>
    <n v="660000"/>
    <n v="205822.46"/>
    <n v="865822.46"/>
  </r>
  <r>
    <n v="18"/>
    <x v="2"/>
    <s v="796463 - AMR/AMI New Growth &amp; Replace"/>
    <n v="32400"/>
    <n v="0"/>
    <n v="32400"/>
  </r>
  <r>
    <n v="19"/>
    <x v="5"/>
    <s v="193407 - Front Range General Electric Long Term Service Agreement"/>
    <n v="5154425"/>
    <n v="3284672.84"/>
    <n v="8439097.8399999999"/>
  </r>
  <r>
    <n v="20"/>
    <x v="5"/>
    <s v="193487 - Front Range ACC Gearbox"/>
    <n v="285000"/>
    <n v="0"/>
    <n v="285000"/>
  </r>
  <r>
    <n v="21"/>
    <x v="5"/>
    <s v="193577 - Front Range HVAC Unit Replacem"/>
    <n v="0"/>
    <n v="-78637.14"/>
    <n v="-78637.14"/>
  </r>
  <r>
    <n v="22"/>
    <x v="5"/>
    <s v="193631 - FR ACC Blade Replacement"/>
    <n v="275000"/>
    <n v="1.03"/>
    <n v="275001.03000000003"/>
  </r>
  <r>
    <n v="23"/>
    <x v="5"/>
    <s v="194082 - Front Range ACC Fan Motor Repl"/>
    <n v="120000"/>
    <n v="0"/>
    <n v="120000"/>
  </r>
  <r>
    <n v="24"/>
    <x v="5"/>
    <s v="194172 - Front Range ACC Transformer Replacement"/>
    <n v="0"/>
    <n v="0"/>
    <n v="0"/>
  </r>
  <r>
    <n v="25"/>
    <x v="2"/>
    <s v="194197 - Front Range - GE HMI Upgrade"/>
    <n v="320000"/>
    <n v="102.48"/>
    <n v="320102.48"/>
  </r>
  <r>
    <n v="26"/>
    <x v="5"/>
    <s v="192985 - Nixon 1 Plvrzr Major Cmpnt Rpl"/>
    <n v="75000"/>
    <n v="0"/>
    <n v="75000"/>
  </r>
  <r>
    <n v="27"/>
    <x v="2"/>
    <s v="193189 - Nixon 1 Clng Twr Fn Blds &amp; Hub"/>
    <n v="50000"/>
    <n v="0"/>
    <n v="50000"/>
  </r>
  <r>
    <n v="28"/>
    <x v="5"/>
    <s v="194178 - Nixon Cooling Tower Transformer Replacement - Emergency"/>
    <n v="100000"/>
    <n v="0"/>
    <n v="100000"/>
  </r>
  <r>
    <n v="29"/>
    <x v="2"/>
    <s v="194198 - Nixon 2&amp;3 - GE HMI Upgrade Project"/>
    <n v="370000"/>
    <n v="102.48"/>
    <n v="370102.48"/>
  </r>
  <r>
    <n v="30"/>
    <x v="5"/>
    <s v="193252 - Nixon 1 D Gearbox"/>
    <n v="30000"/>
    <n v="0"/>
    <n v="30000"/>
  </r>
  <r>
    <n v="31"/>
    <x v="2"/>
    <s v="194069 - Nixon ZD - Demister Pad Replac"/>
    <n v="25000"/>
    <n v="0"/>
    <n v="25000"/>
  </r>
  <r>
    <n v="32"/>
    <x v="3"/>
    <s v="193887 - SEP Portfolio Management"/>
    <n v="850000"/>
    <n v="423138.27"/>
    <n v="1273138.27"/>
  </r>
  <r>
    <n v="33"/>
    <x v="3"/>
    <s v="193978 - Horizon BESS SEP"/>
    <n v="948612"/>
    <n v="541884.87"/>
    <n v="1490496.87"/>
  </r>
  <r>
    <n v="34"/>
    <x v="3"/>
    <s v="193783 - 230kV Redundant Communications"/>
    <n v="40000"/>
    <n v="4248.8999999999996"/>
    <n v="44248.9"/>
  </r>
  <r>
    <n v="35"/>
    <x v="2"/>
    <s v="193892 - Substation Asset Management"/>
    <n v="50000"/>
    <n v="203423.95"/>
    <n v="253423.95"/>
  </r>
  <r>
    <n v="36"/>
    <x v="3"/>
    <s v="194081 - Marksheffel 115kV Trans Tower"/>
    <n v="325000"/>
    <n v="70946.070000000007"/>
    <n v="395946.07"/>
  </r>
  <r>
    <n v="37"/>
    <x v="4"/>
    <s v="194132 - Wildfire Mitigation Sys Hard"/>
    <n v="5448947"/>
    <n v="403210.86"/>
    <n v="5852157.8600000003"/>
  </r>
  <r>
    <n v="38"/>
    <x v="4"/>
    <s v="174220 - SIP - Skyway Elementary 600A Undergrounding"/>
    <n v="700000"/>
    <n v="0"/>
    <n v="700000"/>
  </r>
  <r>
    <n v="39"/>
    <x v="4"/>
    <s v="192296 - UG 12.5kV Res Distribution"/>
    <n v="6312133"/>
    <n v="3636177.45"/>
    <n v="9948310.4499999993"/>
  </r>
  <r>
    <n v="40"/>
    <x v="4"/>
    <s v="192298 - UG 12.5kV Mainline Distrib"/>
    <n v="2569640"/>
    <n v="2058516.68"/>
    <n v="4628156.68"/>
  </r>
  <r>
    <n v="41"/>
    <x v="4"/>
    <s v="180283 - Public Improvements-Electric"/>
    <n v="1600000"/>
    <n v="811295.18"/>
    <n v="2411295.1800000002"/>
  </r>
  <r>
    <n v="42"/>
    <x v="4"/>
    <s v="192295 - OH Distribution Construction"/>
    <n v="132529"/>
    <n v="282219.5"/>
    <n v="414748.5"/>
  </r>
  <r>
    <n v="43"/>
    <x v="4"/>
    <s v="192297 - UG 12.5kV Comm Distribution"/>
    <n v="3156833"/>
    <n v="2702648.8"/>
    <n v="5859481.7999999998"/>
  </r>
  <r>
    <n v="44"/>
    <x v="4"/>
    <s v="192383 - System Capacity Improvements"/>
    <n v="0"/>
    <n v="1214161.01"/>
    <n v="1214161.01"/>
  </r>
  <r>
    <n v="45"/>
    <x v="4"/>
    <s v="180217 - Improve Sys Reliability"/>
    <n v="550000"/>
    <n v="72841.78"/>
    <n v="622841.78"/>
  </r>
  <r>
    <n v="46"/>
    <x v="4"/>
    <s v="182536 - Downtown Network Upgrades"/>
    <n v="270000"/>
    <n v="220004.95"/>
    <n v="490004.95"/>
  </r>
  <r>
    <n v="47"/>
    <x v="4"/>
    <s v="192909 - Electric T&amp;M for Capital Work"/>
    <n v="848375"/>
    <n v="1351289.3"/>
    <n v="2199664.2999999998"/>
  </r>
  <r>
    <n v="48"/>
    <x v="4"/>
    <s v="193974 - System Adds-New Development"/>
    <n v="3038873"/>
    <n v="2643270.46"/>
    <n v="5682143.46"/>
  </r>
  <r>
    <n v="49"/>
    <x v="3"/>
    <s v="194215 - Templeton Gap Levee Electric Relocation"/>
    <n v="200000"/>
    <n v="0"/>
    <n v="200000"/>
  </r>
  <r>
    <n v="50"/>
    <x v="3"/>
    <s v="193642 - Central Bluffs Substation - Transmission"/>
    <n v="800000"/>
    <n v="16206047.724000001"/>
    <n v="17006047.723999999"/>
  </r>
  <r>
    <n v="51"/>
    <x v="4"/>
    <s v="193642 - Central Bluffs Substation - Distribution"/>
    <n v="1200000"/>
    <n v="24309071.585999999"/>
    <n v="25509071.585999999"/>
  </r>
  <r>
    <n v="52"/>
    <x v="4"/>
    <s v="193780 - Sub Trnsfrmr New: Flying Horse"/>
    <n v="1300000"/>
    <n v="2309766.81"/>
    <n v="3609766.81"/>
  </r>
  <r>
    <n v="53"/>
    <x v="4"/>
    <s v="193884 - Claremont 230/34.5kV Transform"/>
    <n v="10561988"/>
    <n v="9308900.3499999996"/>
    <n v="19870888.350000001"/>
  </r>
  <r>
    <n v="54"/>
    <x v="4"/>
    <s v="194026 - Patty Jewett Substation"/>
    <n v="4050088"/>
    <n v="1542227.55"/>
    <n v="5592315.5499999998"/>
  </r>
  <r>
    <n v="55"/>
    <x v="4"/>
    <s v="194029 - Santa Fe Substation"/>
    <n v="3216571"/>
    <n v="5712523.8499999996"/>
    <n v="8929094.8499999996"/>
  </r>
  <r>
    <n v="56"/>
    <x v="4"/>
    <s v="194033 - Fuller Subst-TF SG Feed"/>
    <n v="1900000"/>
    <n v="240.62"/>
    <n v="1900240.62"/>
  </r>
  <r>
    <n v="57"/>
    <x v="4"/>
    <s v="194037 - Horizon Substation-34.5kV TR"/>
    <n v="5934000"/>
    <n v="3476839.42"/>
    <n v="9410839.4199999999"/>
  </r>
  <r>
    <n v="58"/>
    <x v="4"/>
    <s v="194045 - Fontanero Sub Add 2nd 115/12 5"/>
    <n v="3806284"/>
    <n v="5746248.7000000002"/>
    <n v="9552532.6999999993"/>
  </r>
  <r>
    <n v="59"/>
    <x v="4"/>
    <s v="194050 - Spare Transformer - 230/35 kV"/>
    <n v="750000"/>
    <n v="2095163.88"/>
    <n v="2845163.88"/>
  </r>
  <r>
    <n v="60"/>
    <x v="4"/>
    <s v="194087 - Spare Transformer - 35/12.5kV"/>
    <n v="1518000"/>
    <n v="418459.25"/>
    <n v="1936459.25"/>
  </r>
  <r>
    <n v="61"/>
    <x v="4"/>
    <s v="194107 - Briargate Substation"/>
    <n v="6500000"/>
    <n v="4091342.65"/>
    <n v="10591342.65"/>
  </r>
  <r>
    <n v="62"/>
    <x v="3"/>
    <s v="194138 - Trans &amp; Dist System Hardening"/>
    <n v="0"/>
    <n v="2334.06"/>
    <n v="2334.0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1E59390-73C0-470D-B0CB-BB0F0072C327}" name="PivotTable7" cacheId="32" dataOnRows="1" applyNumberFormats="0" applyBorderFormats="0" applyFontFormats="0" applyPatternFormats="0" applyAlignmentFormats="0" applyWidthHeightFormats="1" dataCaption="Values" grandTotalCaption="Grand _x000a_Total" updatedVersion="8" minRefreshableVersion="3" useAutoFormatting="1" itemPrintTitles="1" createdVersion="8" indent="0" outline="1" outlineData="1" multipleFieldFilters="0">
  <location ref="A40:G54" firstHeaderRow="1" firstDataRow="2" firstDataCol="1"/>
  <pivotFields count="42">
    <pivotField showAll="0"/>
    <pivotField showAll="0"/>
    <pivotField axis="axisCol" showAll="0">
      <items count="6">
        <item n="Production _x000a_Plant" x="1"/>
        <item x="2"/>
        <item n="Distribution _x000a_Plant" x="3"/>
        <item n="General _x000a_Plant" x="4"/>
        <item x="0"/>
        <item t="default"/>
      </items>
    </pivotField>
    <pivotField showAll="0"/>
    <pivotField dataField="1" numFmtId="43" showAll="0"/>
    <pivotField numFmtId="43" showAll="0"/>
    <pivotField numFmtId="43" showAll="0"/>
    <pivotField dataField="1" numFmtId="43" showAll="0"/>
    <pivotField numFmtId="43" showAll="0"/>
    <pivotField numFmtId="43" showAll="0"/>
    <pivotField dataField="1" numFmtId="43" showAll="0"/>
    <pivotField numFmtId="43" showAll="0"/>
    <pivotField numFmtId="43" showAll="0"/>
    <pivotField dataField="1" numFmtId="43" showAll="0"/>
    <pivotField numFmtId="43" showAll="0"/>
    <pivotField numFmtId="43" showAll="0"/>
    <pivotField dataField="1" numFmtId="43" showAll="0"/>
    <pivotField numFmtId="43" showAll="0"/>
    <pivotField numFmtId="43" showAll="0"/>
    <pivotField dataField="1" numFmtId="43" showAll="0"/>
    <pivotField numFmtId="43" showAll="0"/>
    <pivotField numFmtId="43" showAll="0"/>
    <pivotField dataField="1" numFmtId="43" showAll="0"/>
    <pivotField numFmtId="43" showAll="0"/>
    <pivotField numFmtId="43" showAll="0"/>
    <pivotField dataField="1" numFmtId="43" showAll="0"/>
    <pivotField numFmtId="43" showAll="0"/>
    <pivotField numFmtId="43" showAll="0"/>
    <pivotField dataField="1" numFmtId="43" showAll="0"/>
    <pivotField numFmtId="43" showAll="0"/>
    <pivotField numFmtId="43" showAll="0"/>
    <pivotField dataField="1" numFmtId="43" showAll="0"/>
    <pivotField numFmtId="43" showAll="0"/>
    <pivotField numFmtId="43" showAll="0"/>
    <pivotField dataField="1" numFmtId="43" showAll="0"/>
    <pivotField numFmtId="43" showAll="0"/>
    <pivotField numFmtId="43" showAll="0"/>
    <pivotField dataField="1" numFmtId="43" showAll="0"/>
    <pivotField numFmtId="43" showAll="0"/>
    <pivotField numFmtId="43" showAll="0"/>
    <pivotField dataField="1" numFmtId="43" showAll="0"/>
    <pivotField numFmtId="43" showAll="0"/>
  </pivotFields>
  <rowFields count="1">
    <field x="-2"/>
  </rowFields>
  <row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rowItems>
  <colFields count="1">
    <field x="2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3">
    <dataField name=" Dec24-Accum Depre" fld="4" baseField="0" baseItem="0" numFmtId="43"/>
    <dataField name="Jan25 -Accum Depre" fld="7" baseField="2" baseItem="2" numFmtId="43"/>
    <dataField name="Feb25 -Accum Depre" fld="10" baseField="2" baseItem="2" numFmtId="43"/>
    <dataField name="Mar25 -Accum Depre" fld="13" baseField="2" baseItem="2" numFmtId="43"/>
    <dataField name="Apr25 -Accum Depre" fld="16" baseField="2" baseItem="2" numFmtId="43"/>
    <dataField name="May25 -Accum Depre" fld="19" baseField="2" baseItem="2" numFmtId="43"/>
    <dataField name="Jun25 -Accum Depre" fld="22" baseField="2" baseItem="2" numFmtId="43"/>
    <dataField name="Jul25 -Accum Depre" fld="25" baseField="2" baseItem="2" numFmtId="43"/>
    <dataField name="Aug25 -Accum Depre" fld="28" baseField="2" baseItem="2" numFmtId="43"/>
    <dataField name="Sum of Sep25-Accum Depre" fld="31" baseField="0" baseItem="0" numFmtId="43"/>
    <dataField name="Oct25 -Accum Depre" fld="34" baseField="2" baseItem="2" numFmtId="43"/>
    <dataField name="Nov25 -Accum Depre" fld="37" baseField="2" baseItem="2" numFmtId="43"/>
    <dataField name="Dec25 -Accum Depre" fld="40" baseField="2" baseItem="2" numFmtId="43"/>
  </dataFields>
  <formats count="6">
    <format dxfId="7">
      <pivotArea outline="0" collapsedLevelsAreSubtotals="1" fieldPosition="0"/>
    </format>
    <format dxfId="6">
      <pivotArea field="-2" type="button" dataOnly="0" labelOnly="1" outline="0" axis="axisRow" fieldPosition="0"/>
    </format>
    <format dxfId="5">
      <pivotArea dataOnly="0" labelOnly="1" fieldPosition="0">
        <references count="1">
          <reference field="2" count="0"/>
        </references>
      </pivotArea>
    </format>
    <format dxfId="4">
      <pivotArea dataOnly="0" labelOnly="1" grandCol="1" outline="0" fieldPosition="0"/>
    </format>
    <format dxfId="3">
      <pivotArea dataOnly="0" labelOnly="1" fieldPosition="0">
        <references count="1">
          <reference field="2" count="0"/>
        </references>
      </pivotArea>
    </format>
    <format dxfId="2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D9C859C-FA6A-43C4-B485-22B3C85042B7}" name="PivotTable4" cacheId="31" dataOnRows="1" applyNumberFormats="0" applyBorderFormats="0" applyFontFormats="0" applyPatternFormats="0" applyAlignmentFormats="0" applyWidthHeightFormats="1" dataCaption="Values" grandTotalCaption="Grand _x000a_Total" updatedVersion="8" minRefreshableVersion="3" useAutoFormatting="1" colGrandTotals="0" itemPrintTitles="1" createdVersion="8" indent="0" outline="1" outlineData="1" multipleFieldFilters="0">
  <location ref="A21:G35" firstHeaderRow="1" firstDataRow="2" firstDataCol="1"/>
  <pivotFields count="42">
    <pivotField showAll="0"/>
    <pivotField showAll="0"/>
    <pivotField axis="axisCol" showAll="0">
      <items count="7">
        <item n="Production _x000a_Plant" x="1"/>
        <item x="2"/>
        <item n="Distribution _x000a_Plant" x="3"/>
        <item n="General _x000a_Plant" x="4"/>
        <item x="0"/>
        <item x="5"/>
        <item t="default"/>
      </items>
    </pivotField>
    <pivotField dataField="1" showAll="0"/>
    <pivotField numFmtId="43" showAll="0"/>
    <pivotField numFmtId="43" showAll="0"/>
    <pivotField dataField="1" numFmtId="43" showAll="0"/>
    <pivotField numFmtId="43" showAll="0"/>
    <pivotField numFmtId="43" showAll="0"/>
    <pivotField dataField="1" numFmtId="43" showAll="0"/>
    <pivotField numFmtId="43" showAll="0"/>
    <pivotField numFmtId="43" showAll="0"/>
    <pivotField dataField="1" numFmtId="43" showAll="0"/>
    <pivotField numFmtId="43" showAll="0"/>
    <pivotField numFmtId="43" showAll="0"/>
    <pivotField dataField="1" numFmtId="43" showAll="0"/>
    <pivotField numFmtId="43" showAll="0"/>
    <pivotField numFmtId="43" showAll="0"/>
    <pivotField dataField="1" numFmtId="43" showAll="0"/>
    <pivotField numFmtId="43" showAll="0"/>
    <pivotField numFmtId="43" showAll="0"/>
    <pivotField dataField="1" numFmtId="43" showAll="0"/>
    <pivotField numFmtId="43" showAll="0"/>
    <pivotField numFmtId="43" showAll="0"/>
    <pivotField dataField="1" numFmtId="43" showAll="0"/>
    <pivotField numFmtId="43" showAll="0"/>
    <pivotField numFmtId="43" showAll="0"/>
    <pivotField dataField="1" numFmtId="43" showAll="0"/>
    <pivotField numFmtId="43" showAll="0"/>
    <pivotField numFmtId="43" showAll="0"/>
    <pivotField dataField="1" numFmtId="43" showAll="0"/>
    <pivotField numFmtId="43" showAll="0"/>
    <pivotField numFmtId="43" showAll="0"/>
    <pivotField dataField="1" numFmtId="43" showAll="0"/>
    <pivotField numFmtId="43" showAll="0"/>
    <pivotField numFmtId="43" showAll="0"/>
    <pivotField dataField="1" numFmtId="43" showAll="0"/>
    <pivotField numFmtId="43" showAll="0"/>
    <pivotField numFmtId="43" showAll="0"/>
    <pivotField dataField="1" numFmtId="43" showAll="0"/>
    <pivotField numFmtId="43" showAll="0"/>
    <pivotField numFmtId="43" showAll="0"/>
  </pivotFields>
  <rowFields count="1">
    <field x="-2"/>
  </rowFields>
  <row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rowItems>
  <colFields count="1">
    <field x="2"/>
  </colFields>
  <colItems count="6">
    <i>
      <x/>
    </i>
    <i>
      <x v="1"/>
    </i>
    <i>
      <x v="2"/>
    </i>
    <i>
      <x v="3"/>
    </i>
    <i>
      <x v="4"/>
    </i>
    <i>
      <x v="5"/>
    </i>
  </colItems>
  <dataFields count="13">
    <dataField name=" Dec24-Asset Cost" fld="3" baseField="0" baseItem="0"/>
    <dataField name="Jan25 -Asset Cost" fld="6" baseField="2" baseItem="5" numFmtId="43"/>
    <dataField name="Feb25 -Asset Cost" fld="9" baseField="2" baseItem="5" numFmtId="43"/>
    <dataField name="Mar25 -Asset Cost" fld="12" baseField="2" baseItem="5" numFmtId="43"/>
    <dataField name="Apr25 -Asset Cost" fld="15" baseField="2" baseItem="5" numFmtId="43"/>
    <dataField name="May25 -Asset Cost" fld="18" baseField="2" baseItem="5" numFmtId="43"/>
    <dataField name="Jun25 -Asset Cost" fld="21" baseField="2" baseItem="5" numFmtId="43"/>
    <dataField name="Jul25 -Asset Cost" fld="24" baseField="2" baseItem="5" numFmtId="43"/>
    <dataField name="Aug25 -Asset Cost" fld="27" baseField="2" baseItem="5" numFmtId="43"/>
    <dataField name="Sep25 -Asset Cost" fld="30" baseField="2" baseItem="5" numFmtId="43"/>
    <dataField name="Oct25 -Asset Cost" fld="33" baseField="2" baseItem="5" numFmtId="43"/>
    <dataField name="Nov25 -Asset Cost" fld="36" baseField="2" baseItem="5" numFmtId="43"/>
    <dataField name="Dec25 -Asset Cost" fld="39" baseField="2" baseItem="5" numFmtId="43"/>
  </dataFields>
  <formats count="8">
    <format dxfId="15">
      <pivotArea collapsedLevelsAreSubtotals="1" fieldPosition="0">
        <references count="2">
          <reference field="4294967294" count="1">
            <x v="0"/>
          </reference>
          <reference field="2" count="1" selected="0">
            <x v="4"/>
          </reference>
        </references>
      </pivotArea>
    </format>
    <format dxfId="14">
      <pivotArea collapsedLevelsAreSubtotals="1" fieldPosition="0">
        <references count="2">
          <reference field="4294967294" count="1">
            <x v="0"/>
          </reference>
          <reference field="2" count="1" selected="0">
            <x v="0"/>
          </reference>
        </references>
      </pivotArea>
    </format>
    <format dxfId="13">
      <pivotArea outline="0" collapsedLevelsAreSubtotals="1" fieldPosition="0"/>
    </format>
    <format dxfId="12">
      <pivotArea field="-2" type="button" dataOnly="0" labelOnly="1" outline="0" axis="axisRow" fieldPosition="0"/>
    </format>
    <format dxfId="11">
      <pivotArea dataOnly="0" labelOnly="1" fieldPosition="0">
        <references count="1">
          <reference field="2" count="0"/>
        </references>
      </pivotArea>
    </format>
    <format dxfId="10">
      <pivotArea dataOnly="0" labelOnly="1" grandCol="1" outline="0" fieldPosition="0"/>
    </format>
    <format dxfId="9">
      <pivotArea dataOnly="0" labelOnly="1" fieldPosition="0">
        <references count="1">
          <reference field="2" count="0"/>
        </references>
      </pivotArea>
    </format>
    <format dxfId="8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451A9A-DB3A-4CAF-A50F-B15923B68394}" name="PivotTable8" cacheId="37" dataOnRows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H11:M13" firstHeaderRow="1" firstDataRow="2" firstDataCol="1"/>
  <pivotFields count="6">
    <pivotField showAll="0"/>
    <pivotField axis="axisCol" showAll="0">
      <items count="13">
        <item m="1" x="11"/>
        <item m="1" x="9"/>
        <item m="1" x="10"/>
        <item m="1" x="8"/>
        <item h="1" x="0"/>
        <item h="1" x="1"/>
        <item x="2"/>
        <item x="3"/>
        <item x="4"/>
        <item x="5"/>
        <item m="1" x="6"/>
        <item m="1" x="7"/>
        <item t="default"/>
      </items>
    </pivotField>
    <pivotField showAll="0"/>
    <pivotField showAll="0"/>
    <pivotField showAll="0"/>
    <pivotField dataField="1" showAll="0"/>
  </pivotFields>
  <rowItems count="1">
    <i/>
  </rowItems>
  <colFields count="1">
    <field x="1"/>
  </colFields>
  <colItems count="5">
    <i>
      <x v="6"/>
    </i>
    <i>
      <x v="7"/>
    </i>
    <i>
      <x v="8"/>
    </i>
    <i>
      <x v="9"/>
    </i>
    <i t="grand">
      <x/>
    </i>
  </colItems>
  <dataFields count="1">
    <dataField name="Projected Capex/CWIP Additions" fld="5" baseField="1" baseItem="7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19"/>
  <sheetViews>
    <sheetView tabSelected="1" zoomScaleNormal="100" workbookViewId="0">
      <selection sqref="A1:C1"/>
    </sheetView>
  </sheetViews>
  <sheetFormatPr defaultRowHeight="15"/>
  <cols>
    <col min="1" max="1" width="15" customWidth="1"/>
    <col min="2" max="2" width="1.42578125" customWidth="1"/>
    <col min="3" max="3" width="62.85546875" bestFit="1" customWidth="1"/>
  </cols>
  <sheetData>
    <row r="1" spans="1:3">
      <c r="A1" s="249" t="s">
        <v>65</v>
      </c>
      <c r="B1" s="249"/>
      <c r="C1" s="249"/>
    </row>
    <row r="2" spans="1:3" ht="15" customHeight="1">
      <c r="A2" s="250" t="s">
        <v>694</v>
      </c>
      <c r="B2" s="250"/>
      <c r="C2" s="250"/>
    </row>
    <row r="3" spans="1:3">
      <c r="A3" s="74"/>
      <c r="B3" s="74"/>
      <c r="C3" s="74"/>
    </row>
    <row r="5" spans="1:3">
      <c r="A5" s="249" t="s">
        <v>66</v>
      </c>
      <c r="B5" s="249"/>
      <c r="C5" s="249"/>
    </row>
    <row r="7" spans="1:3">
      <c r="A7" s="17" t="s">
        <v>490</v>
      </c>
      <c r="B7" s="16"/>
      <c r="C7" s="17" t="s">
        <v>67</v>
      </c>
    </row>
    <row r="9" spans="1:3">
      <c r="A9" t="s">
        <v>491</v>
      </c>
      <c r="C9" t="s">
        <v>410</v>
      </c>
    </row>
    <row r="10" spans="1:3">
      <c r="A10" t="s">
        <v>492</v>
      </c>
      <c r="C10" t="s">
        <v>385</v>
      </c>
    </row>
    <row r="11" spans="1:3">
      <c r="A11" t="s">
        <v>493</v>
      </c>
      <c r="C11" t="s">
        <v>428</v>
      </c>
    </row>
    <row r="12" spans="1:3">
      <c r="A12" t="s">
        <v>494</v>
      </c>
      <c r="C12" t="s">
        <v>429</v>
      </c>
    </row>
    <row r="13" spans="1:3">
      <c r="A13" t="s">
        <v>495</v>
      </c>
      <c r="C13" t="s">
        <v>430</v>
      </c>
    </row>
    <row r="14" spans="1:3">
      <c r="A14" t="s">
        <v>496</v>
      </c>
      <c r="C14" t="s">
        <v>431</v>
      </c>
    </row>
    <row r="15" spans="1:3">
      <c r="A15" t="s">
        <v>497</v>
      </c>
      <c r="C15" t="s">
        <v>594</v>
      </c>
    </row>
    <row r="16" spans="1:3">
      <c r="A16" t="s">
        <v>499</v>
      </c>
      <c r="C16" t="s">
        <v>500</v>
      </c>
    </row>
    <row r="17" spans="1:3">
      <c r="A17" t="s">
        <v>593</v>
      </c>
      <c r="C17" t="s">
        <v>622</v>
      </c>
    </row>
    <row r="18" spans="1:3">
      <c r="A18" t="s">
        <v>498</v>
      </c>
      <c r="C18" t="s">
        <v>489</v>
      </c>
    </row>
    <row r="19" spans="1:3">
      <c r="A19" t="s">
        <v>657</v>
      </c>
      <c r="C19" t="s">
        <v>658</v>
      </c>
    </row>
  </sheetData>
  <mergeCells count="3">
    <mergeCell ref="A1:C1"/>
    <mergeCell ref="A5:C5"/>
    <mergeCell ref="A2:C2"/>
  </mergeCells>
  <phoneticPr fontId="17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2909D-F851-4E11-9433-9E7F7C81B85B}">
  <sheetPr>
    <tabColor rgb="FF0070C0"/>
  </sheetPr>
  <dimension ref="A1:W53"/>
  <sheetViews>
    <sheetView zoomScaleNormal="100" workbookViewId="0"/>
  </sheetViews>
  <sheetFormatPr defaultRowHeight="15"/>
  <cols>
    <col min="1" max="1" width="5.7109375" customWidth="1"/>
    <col min="2" max="2" width="1.5703125" customWidth="1"/>
    <col min="3" max="3" width="18.28515625" customWidth="1"/>
    <col min="4" max="4" width="1.5703125" customWidth="1"/>
    <col min="5" max="5" width="16.7109375" customWidth="1"/>
    <col min="6" max="6" width="1.5703125" customWidth="1"/>
    <col min="7" max="7" width="11.85546875" customWidth="1"/>
    <col min="8" max="8" width="1.5703125" customWidth="1"/>
    <col min="9" max="9" width="15.85546875" customWidth="1"/>
    <col min="21" max="21" width="10.140625" bestFit="1" customWidth="1"/>
    <col min="22" max="23" width="9.140625" style="136"/>
  </cols>
  <sheetData>
    <row r="1" spans="1:9">
      <c r="A1" s="12" t="str">
        <f>TOC!A1</f>
        <v>Colorado Springs Utilities</v>
      </c>
    </row>
    <row r="2" spans="1:9">
      <c r="A2" s="13" t="str">
        <f>TOC!A2</f>
        <v>2027 Transmission Formula Rate (TFR) Backup</v>
      </c>
    </row>
    <row r="4" spans="1:9">
      <c r="A4" s="12" t="s">
        <v>593</v>
      </c>
    </row>
    <row r="5" spans="1:9">
      <c r="A5" s="14" t="str">
        <f>UPPER(VLOOKUP(A$4,TOC!$A$7:$C$39,3,FALSE))</f>
        <v>BOND ISSUANCE AMORTIZATION EXPENSE DETAIL</v>
      </c>
    </row>
    <row r="9" spans="1:9" ht="48" thickBot="1">
      <c r="A9" s="137" t="s">
        <v>155</v>
      </c>
      <c r="B9" s="138"/>
      <c r="C9" s="137" t="s">
        <v>551</v>
      </c>
      <c r="D9" s="138"/>
      <c r="E9" s="137" t="s">
        <v>623</v>
      </c>
      <c r="G9" s="137" t="s">
        <v>552</v>
      </c>
      <c r="H9" s="138"/>
      <c r="I9" s="137" t="s">
        <v>553</v>
      </c>
    </row>
    <row r="10" spans="1:9">
      <c r="A10" s="139" t="s">
        <v>505</v>
      </c>
      <c r="B10" s="140"/>
      <c r="C10" s="139" t="s">
        <v>506</v>
      </c>
      <c r="D10" s="140"/>
      <c r="E10" s="139" t="s">
        <v>507</v>
      </c>
      <c r="F10" s="140"/>
      <c r="G10" s="139" t="s">
        <v>508</v>
      </c>
      <c r="I10" s="139" t="s">
        <v>509</v>
      </c>
    </row>
    <row r="11" spans="1:9">
      <c r="A11" s="139"/>
      <c r="B11" s="140"/>
      <c r="C11" s="140"/>
      <c r="D11" s="140"/>
      <c r="E11" s="140"/>
      <c r="F11" s="140"/>
      <c r="G11" s="140"/>
      <c r="I11" s="141" t="s">
        <v>647</v>
      </c>
    </row>
    <row r="12" spans="1:9" ht="7.5" customHeight="1">
      <c r="A12" s="139"/>
      <c r="B12" s="140"/>
      <c r="C12" s="140"/>
      <c r="D12" s="140"/>
      <c r="E12" s="140"/>
      <c r="F12" s="140"/>
      <c r="G12" s="140"/>
    </row>
    <row r="13" spans="1:9">
      <c r="A13" s="142">
        <v>1</v>
      </c>
      <c r="B13" s="140"/>
      <c r="C13" t="s">
        <v>559</v>
      </c>
      <c r="E13" s="143">
        <v>14728.560000000005</v>
      </c>
      <c r="F13" s="140"/>
      <c r="G13" s="144">
        <f>_xlfn.XLOOKUP(C13,'WP8 Amortization of prem or dis'!$V$12:$V$53,'WP8 Amortization of prem or dis'!$W$12:$W$53,0,0,1)</f>
        <v>0.29099999999999998</v>
      </c>
      <c r="I13" s="145">
        <f>E13*G13</f>
        <v>4286.0109600000014</v>
      </c>
    </row>
    <row r="14" spans="1:9">
      <c r="A14" s="142">
        <f>A13+1</f>
        <v>2</v>
      </c>
      <c r="C14" t="s">
        <v>560</v>
      </c>
      <c r="E14" s="146">
        <v>13388.519999999997</v>
      </c>
      <c r="G14" s="144">
        <f>_xlfn.XLOOKUP(C14,'WP8 Amortization of prem or dis'!$V$12:$V$53,'WP8 Amortization of prem or dis'!$W$12:$W$53,0,0,1)</f>
        <v>3.1800000000000002E-2</v>
      </c>
      <c r="I14" s="146">
        <f t="shared" ref="I14:I51" si="0">E14*G14</f>
        <v>425.75493599999993</v>
      </c>
    </row>
    <row r="15" spans="1:9">
      <c r="A15" s="142">
        <f t="shared" ref="A15:A52" si="1">A14+1</f>
        <v>3</v>
      </c>
      <c r="C15" t="s">
        <v>561</v>
      </c>
      <c r="E15" s="146">
        <v>15988.320000000002</v>
      </c>
      <c r="G15" s="144">
        <f>_xlfn.XLOOKUP(C15,'WP8 Amortization of prem or dis'!$V$12:$V$53,'WP8 Amortization of prem or dis'!$W$12:$W$53,0,0,1)</f>
        <v>0.25819999999999999</v>
      </c>
      <c r="I15" s="146">
        <f t="shared" si="0"/>
        <v>4128.1842240000005</v>
      </c>
    </row>
    <row r="16" spans="1:9">
      <c r="A16" s="142">
        <f t="shared" si="1"/>
        <v>4</v>
      </c>
      <c r="C16" t="s">
        <v>562</v>
      </c>
      <c r="E16" s="146">
        <v>18372.96</v>
      </c>
      <c r="G16" s="144">
        <f>_xlfn.XLOOKUP(C16,'WP8 Amortization of prem or dis'!$V$12:$V$53,'WP8 Amortization of prem or dis'!$W$12:$W$53,0,0,1)</f>
        <v>0.49780000000000002</v>
      </c>
      <c r="I16" s="146">
        <f t="shared" si="0"/>
        <v>9146.0594880000008</v>
      </c>
    </row>
    <row r="17" spans="1:9">
      <c r="A17" s="142">
        <f t="shared" si="1"/>
        <v>5</v>
      </c>
      <c r="C17" t="s">
        <v>563</v>
      </c>
      <c r="E17" s="146">
        <v>31460.76</v>
      </c>
      <c r="G17" s="144">
        <f>_xlfn.XLOOKUP(C17,'WP8 Amortization of prem or dis'!$V$12:$V$53,'WP8 Amortization of prem or dis'!$W$12:$W$53,0,0,1)</f>
        <v>0.16569999999999999</v>
      </c>
      <c r="I17" s="146">
        <f t="shared" si="0"/>
        <v>5213.0479319999995</v>
      </c>
    </row>
    <row r="18" spans="1:9">
      <c r="A18" s="142">
        <f t="shared" si="1"/>
        <v>6</v>
      </c>
      <c r="C18" t="s">
        <v>564</v>
      </c>
      <c r="E18" s="146">
        <v>21626.04</v>
      </c>
      <c r="G18" s="144">
        <f>_xlfn.XLOOKUP(C18,'WP8 Amortization of prem or dis'!$V$12:$V$53,'WP8 Amortization of prem or dis'!$W$12:$W$53,0,0,1)</f>
        <v>0.72619999999999996</v>
      </c>
      <c r="I18" s="146">
        <f t="shared" si="0"/>
        <v>15704.830248</v>
      </c>
    </row>
    <row r="19" spans="1:9">
      <c r="A19" s="142">
        <f t="shared" si="1"/>
        <v>7</v>
      </c>
      <c r="C19" t="s">
        <v>565</v>
      </c>
      <c r="E19" s="146">
        <v>17272.920000000002</v>
      </c>
      <c r="G19" s="144">
        <f>_xlfn.XLOOKUP(C19,'WP8 Amortization of prem or dis'!$V$12:$V$53,'WP8 Amortization of prem or dis'!$W$12:$W$53,0,0,1)</f>
        <v>0</v>
      </c>
      <c r="I19" s="146">
        <f t="shared" si="0"/>
        <v>0</v>
      </c>
    </row>
    <row r="20" spans="1:9">
      <c r="A20" s="142">
        <f t="shared" si="1"/>
        <v>8</v>
      </c>
      <c r="C20" t="s">
        <v>566</v>
      </c>
      <c r="E20" s="146">
        <v>1749.8399999999995</v>
      </c>
      <c r="G20" s="144">
        <f>_xlfn.XLOOKUP(C20,'WP8 Amortization of prem or dis'!$V$12:$V$53,'WP8 Amortization of prem or dis'!$W$12:$W$53,0,0,1)</f>
        <v>0</v>
      </c>
      <c r="I20" s="146">
        <f t="shared" si="0"/>
        <v>0</v>
      </c>
    </row>
    <row r="21" spans="1:9">
      <c r="A21" s="142">
        <f t="shared" si="1"/>
        <v>9</v>
      </c>
      <c r="C21" t="s">
        <v>567</v>
      </c>
      <c r="E21" s="146">
        <v>15479.160000000002</v>
      </c>
      <c r="G21" s="144">
        <f>_xlfn.XLOOKUP(C21,'WP8 Amortization of prem or dis'!$V$12:$V$53,'WP8 Amortization of prem or dis'!$W$12:$W$53,0,0,1)</f>
        <v>0.61839999999999995</v>
      </c>
      <c r="I21" s="146">
        <f t="shared" si="0"/>
        <v>9572.3125440000003</v>
      </c>
    </row>
    <row r="22" spans="1:9">
      <c r="A22" s="142">
        <f t="shared" si="1"/>
        <v>10</v>
      </c>
      <c r="C22" t="s">
        <v>568</v>
      </c>
      <c r="E22" s="146">
        <v>53055.337334283009</v>
      </c>
      <c r="G22" s="144">
        <f>_xlfn.XLOOKUP(C22,'WP8 Amortization of prem or dis'!$V$12:$V$53,'WP8 Amortization of prem or dis'!$W$12:$W$53,0,0,1)</f>
        <v>1</v>
      </c>
      <c r="I22" s="146">
        <f t="shared" si="0"/>
        <v>53055.337334283009</v>
      </c>
    </row>
    <row r="23" spans="1:9">
      <c r="A23" s="142">
        <f t="shared" si="1"/>
        <v>11</v>
      </c>
      <c r="C23" t="s">
        <v>569</v>
      </c>
      <c r="E23" s="146">
        <v>17563.920000000002</v>
      </c>
      <c r="G23" s="144">
        <f>_xlfn.XLOOKUP(C23,'WP8 Amortization of prem or dis'!$V$12:$V$53,'WP8 Amortization of prem or dis'!$W$12:$W$53,0,0,1)</f>
        <v>0.62429999999999997</v>
      </c>
      <c r="I23" s="146">
        <f t="shared" si="0"/>
        <v>10965.155256</v>
      </c>
    </row>
    <row r="24" spans="1:9">
      <c r="A24" s="142">
        <f t="shared" si="1"/>
        <v>12</v>
      </c>
      <c r="C24" t="s">
        <v>570</v>
      </c>
      <c r="E24" s="146">
        <v>0</v>
      </c>
      <c r="G24" s="144">
        <f>_xlfn.XLOOKUP(C24,'WP8 Amortization of prem or dis'!$V$12:$V$53,'WP8 Amortization of prem or dis'!$W$12:$W$53,0,0,1)</f>
        <v>0.1933</v>
      </c>
      <c r="I24" s="146">
        <f t="shared" si="0"/>
        <v>0</v>
      </c>
    </row>
    <row r="25" spans="1:9">
      <c r="A25" s="142">
        <f t="shared" si="1"/>
        <v>13</v>
      </c>
      <c r="C25" t="s">
        <v>571</v>
      </c>
      <c r="E25" s="146">
        <v>0</v>
      </c>
      <c r="G25" s="144">
        <f>_xlfn.XLOOKUP(C25,'WP8 Amortization of prem or dis'!$V$12:$V$53,'WP8 Amortization of prem or dis'!$W$12:$W$53,0,0,1)</f>
        <v>0</v>
      </c>
      <c r="I25" s="146">
        <f t="shared" si="0"/>
        <v>0</v>
      </c>
    </row>
    <row r="26" spans="1:9">
      <c r="A26" s="142">
        <f t="shared" si="1"/>
        <v>14</v>
      </c>
      <c r="C26" t="s">
        <v>572</v>
      </c>
      <c r="E26" s="146">
        <v>0</v>
      </c>
      <c r="G26" s="144">
        <f>_xlfn.XLOOKUP(C26,'WP8 Amortization of prem or dis'!$V$12:$V$53,'WP8 Amortization of prem or dis'!$W$12:$W$53,0,0,1)</f>
        <v>0</v>
      </c>
      <c r="I26" s="146">
        <f t="shared" si="0"/>
        <v>0</v>
      </c>
    </row>
    <row r="27" spans="1:9">
      <c r="A27" s="142">
        <f t="shared" si="1"/>
        <v>15</v>
      </c>
      <c r="C27" t="s">
        <v>573</v>
      </c>
      <c r="E27" s="146">
        <v>0</v>
      </c>
      <c r="G27" s="144">
        <f>_xlfn.XLOOKUP(C27,'WP8 Amortization of prem or dis'!$V$12:$V$53,'WP8 Amortization of prem or dis'!$W$12:$W$53,0,0,1)</f>
        <v>0</v>
      </c>
      <c r="I27" s="146">
        <f t="shared" si="0"/>
        <v>0</v>
      </c>
    </row>
    <row r="28" spans="1:9">
      <c r="A28" s="142">
        <f t="shared" si="1"/>
        <v>16</v>
      </c>
      <c r="C28" t="s">
        <v>574</v>
      </c>
      <c r="E28" s="146">
        <v>0</v>
      </c>
      <c r="G28" s="144">
        <f>_xlfn.XLOOKUP(C28,'WP8 Amortization of prem or dis'!$V$12:$V$53,'WP8 Amortization of prem or dis'!$W$12:$W$53,0,0,1)</f>
        <v>0</v>
      </c>
      <c r="I28" s="146">
        <f t="shared" si="0"/>
        <v>0</v>
      </c>
    </row>
    <row r="29" spans="1:9">
      <c r="A29" s="142">
        <f t="shared" si="1"/>
        <v>17</v>
      </c>
      <c r="C29" t="s">
        <v>575</v>
      </c>
      <c r="E29" s="146">
        <v>10218.597284430825</v>
      </c>
      <c r="G29" s="144">
        <f>_xlfn.XLOOKUP(C29,'WP8 Amortization of prem or dis'!$V$12:$V$53,'WP8 Amortization of prem or dis'!$W$12:$W$53,0,0,1)</f>
        <v>0.24529999999999999</v>
      </c>
      <c r="I29" s="146">
        <f t="shared" si="0"/>
        <v>2506.6219138708811</v>
      </c>
    </row>
    <row r="30" spans="1:9">
      <c r="A30" s="142">
        <f t="shared" si="1"/>
        <v>18</v>
      </c>
      <c r="C30" t="s">
        <v>576</v>
      </c>
      <c r="E30" s="146">
        <v>60117.070399999997</v>
      </c>
      <c r="G30" s="144">
        <f>_xlfn.XLOOKUP(C30,'WP8 Amortization of prem or dis'!$V$12:$V$53,'WP8 Amortization of prem or dis'!$W$12:$W$53,0,0,1)</f>
        <v>0.69387030533986904</v>
      </c>
      <c r="I30" s="146">
        <f t="shared" si="0"/>
        <v>41713.449994586401</v>
      </c>
    </row>
    <row r="31" spans="1:9">
      <c r="A31" s="142">
        <f t="shared" si="1"/>
        <v>19</v>
      </c>
      <c r="C31" t="s">
        <v>577</v>
      </c>
      <c r="E31" s="146">
        <v>16808.788333333334</v>
      </c>
      <c r="G31" s="144">
        <f>_xlfn.XLOOKUP(C31,'WP8 Amortization of prem or dis'!$V$12:$V$53,'WP8 Amortization of prem or dis'!$W$12:$W$53,0,0,1)</f>
        <v>0.125</v>
      </c>
      <c r="I31" s="146">
        <f t="shared" si="0"/>
        <v>2101.0985416666667</v>
      </c>
    </row>
    <row r="32" spans="1:9">
      <c r="A32" s="142">
        <f t="shared" si="1"/>
        <v>20</v>
      </c>
      <c r="C32" t="s">
        <v>578</v>
      </c>
      <c r="E32" s="146">
        <v>0</v>
      </c>
      <c r="G32" s="144">
        <f>_xlfn.XLOOKUP(C32,'WP8 Amortization of prem or dis'!$V$12:$V$53,'WP8 Amortization of prem or dis'!$W$12:$W$53,0,0,1)</f>
        <v>0</v>
      </c>
      <c r="I32" s="146">
        <f t="shared" si="0"/>
        <v>0</v>
      </c>
    </row>
    <row r="33" spans="1:9">
      <c r="A33" s="142">
        <f t="shared" si="1"/>
        <v>21</v>
      </c>
      <c r="C33" t="s">
        <v>579</v>
      </c>
      <c r="E33" s="146">
        <v>0</v>
      </c>
      <c r="G33" s="144">
        <f>_xlfn.XLOOKUP(C33,'WP8 Amortization of prem or dis'!$V$12:$V$53,'WP8 Amortization of prem or dis'!$W$12:$W$53,0,0,1)</f>
        <v>0.46939999999999998</v>
      </c>
      <c r="I33" s="146">
        <f t="shared" si="0"/>
        <v>0</v>
      </c>
    </row>
    <row r="34" spans="1:9">
      <c r="A34" s="142">
        <f t="shared" si="1"/>
        <v>22</v>
      </c>
      <c r="C34" t="s">
        <v>580</v>
      </c>
      <c r="E34" s="146">
        <v>7556.5686666666652</v>
      </c>
      <c r="G34" s="144">
        <f>_xlfn.XLOOKUP(C34,'WP8 Amortization of prem or dis'!$V$12:$V$53,'WP8 Amortization of prem or dis'!$W$12:$W$53,0,0,1)</f>
        <v>0</v>
      </c>
      <c r="I34" s="146">
        <f t="shared" si="0"/>
        <v>0</v>
      </c>
    </row>
    <row r="35" spans="1:9">
      <c r="A35" s="142">
        <f t="shared" si="1"/>
        <v>23</v>
      </c>
      <c r="C35" t="s">
        <v>581</v>
      </c>
      <c r="E35" s="146">
        <v>8477.4486666666689</v>
      </c>
      <c r="G35" s="144">
        <f>_xlfn.XLOOKUP(C35,'WP8 Amortization of prem or dis'!$V$12:$V$53,'WP8 Amortization of prem or dis'!$W$12:$W$53,0,0,1)</f>
        <v>0.36549999999999999</v>
      </c>
      <c r="I35" s="146">
        <f t="shared" si="0"/>
        <v>3098.5074876666672</v>
      </c>
    </row>
    <row r="36" spans="1:9">
      <c r="A36" s="142">
        <f t="shared" si="1"/>
        <v>24</v>
      </c>
      <c r="C36" t="s">
        <v>582</v>
      </c>
      <c r="E36" s="146">
        <v>10919.065666666667</v>
      </c>
      <c r="G36" s="144">
        <f>_xlfn.XLOOKUP(C36,'WP8 Amortization of prem or dis'!$V$12:$V$53,'WP8 Amortization of prem or dis'!$W$12:$W$53,0,0,1)</f>
        <v>0</v>
      </c>
      <c r="I36" s="146">
        <f t="shared" si="0"/>
        <v>0</v>
      </c>
    </row>
    <row r="37" spans="1:9">
      <c r="A37" s="142">
        <f t="shared" si="1"/>
        <v>25</v>
      </c>
      <c r="C37" t="s">
        <v>583</v>
      </c>
      <c r="E37" s="146">
        <v>82196.426776859502</v>
      </c>
      <c r="G37" s="144">
        <f>_xlfn.XLOOKUP(C37,'WP8 Amortization of prem or dis'!$V$12:$V$53,'WP8 Amortization of prem or dis'!$W$12:$W$53,0,0,1)</f>
        <v>0.31109999999999999</v>
      </c>
      <c r="I37" s="146">
        <f t="shared" si="0"/>
        <v>25571.308370280989</v>
      </c>
    </row>
    <row r="38" spans="1:9">
      <c r="A38" s="142">
        <f t="shared" si="1"/>
        <v>26</v>
      </c>
      <c r="C38" t="s">
        <v>584</v>
      </c>
      <c r="E38" s="146">
        <v>90309.376299983647</v>
      </c>
      <c r="G38" s="144">
        <f>_xlfn.XLOOKUP(C38,'WP8 Amortization of prem or dis'!$V$12:$V$53,'WP8 Amortization of prem or dis'!$W$12:$W$53,0,0,1)</f>
        <v>0.11137787706036385</v>
      </c>
      <c r="I38" s="146">
        <f t="shared" si="0"/>
        <v>10058.466610937716</v>
      </c>
    </row>
    <row r="39" spans="1:9">
      <c r="A39" s="142">
        <f t="shared" si="1"/>
        <v>27</v>
      </c>
      <c r="C39" t="s">
        <v>585</v>
      </c>
      <c r="E39" s="146">
        <v>236166.41445933739</v>
      </c>
      <c r="G39" s="144">
        <f>_xlfn.XLOOKUP(C39,'WP8 Amortization of prem or dis'!$V$12:$V$53,'WP8 Amortization of prem or dis'!$W$12:$W$53,0,0,1)</f>
        <v>0.99778009156635328</v>
      </c>
      <c r="I39" s="146">
        <f t="shared" si="0"/>
        <v>235642.14664413501</v>
      </c>
    </row>
    <row r="40" spans="1:9">
      <c r="A40" s="142">
        <f t="shared" si="1"/>
        <v>28</v>
      </c>
      <c r="C40" t="s">
        <v>586</v>
      </c>
      <c r="E40" s="146">
        <v>12493.238176159677</v>
      </c>
      <c r="G40" s="144">
        <f>_xlfn.XLOOKUP(C40,'WP8 Amortization of prem or dis'!$V$12:$V$53,'WP8 Amortization of prem or dis'!$W$12:$W$53,0,0,1)</f>
        <v>0.45850000000000002</v>
      </c>
      <c r="I40" s="146">
        <f t="shared" si="0"/>
        <v>5728.1497037692125</v>
      </c>
    </row>
    <row r="41" spans="1:9">
      <c r="A41" s="142">
        <f t="shared" si="1"/>
        <v>29</v>
      </c>
      <c r="C41" t="s">
        <v>587</v>
      </c>
      <c r="E41" s="146">
        <v>51200.519729851258</v>
      </c>
      <c r="G41" s="144">
        <f>_xlfn.XLOOKUP(C41,'WP8 Amortization of prem or dis'!$V$12:$V$53,'WP8 Amortization of prem or dis'!$W$12:$W$53,0,0,1)</f>
        <v>0.49309999999999998</v>
      </c>
      <c r="I41" s="146">
        <f t="shared" si="0"/>
        <v>25246.976278789654</v>
      </c>
    </row>
    <row r="42" spans="1:9">
      <c r="A42" s="142">
        <f t="shared" si="1"/>
        <v>30</v>
      </c>
      <c r="C42" t="s">
        <v>588</v>
      </c>
      <c r="E42" s="146">
        <v>29509.214563122459</v>
      </c>
      <c r="G42" s="144">
        <f>_xlfn.XLOOKUP(C42,'WP8 Amortization of prem or dis'!$V$12:$V$53,'WP8 Amortization of prem or dis'!$W$12:$W$53,0,0,1)</f>
        <v>0.624</v>
      </c>
      <c r="I42" s="146">
        <f t="shared" si="0"/>
        <v>18413.749887388414</v>
      </c>
    </row>
    <row r="43" spans="1:9">
      <c r="A43" s="142">
        <f t="shared" si="1"/>
        <v>31</v>
      </c>
      <c r="C43" t="s">
        <v>589</v>
      </c>
      <c r="E43" s="146">
        <v>76221.12157274154</v>
      </c>
      <c r="G43" s="144">
        <f>_xlfn.XLOOKUP(C43,'WP8 Amortization of prem or dis'!$V$12:$V$53,'WP8 Amortization of prem or dis'!$W$12:$W$53,0,0,1)</f>
        <v>0.2742</v>
      </c>
      <c r="I43" s="146">
        <f t="shared" si="0"/>
        <v>20899.831535245728</v>
      </c>
    </row>
    <row r="44" spans="1:9">
      <c r="A44" s="142">
        <f t="shared" si="1"/>
        <v>32</v>
      </c>
      <c r="C44" t="s">
        <v>590</v>
      </c>
      <c r="E44" s="146">
        <v>23794.4272123462</v>
      </c>
      <c r="G44" s="144">
        <f>_xlfn.XLOOKUP(C44,'WP8 Amortization of prem or dis'!$V$12:$V$53,'WP8 Amortization of prem or dis'!$W$12:$W$53,0,0,1)</f>
        <v>0.58309999999999995</v>
      </c>
      <c r="I44" s="146">
        <f t="shared" si="0"/>
        <v>13874.530507519068</v>
      </c>
    </row>
    <row r="45" spans="1:9">
      <c r="A45" s="142">
        <f t="shared" si="1"/>
        <v>33</v>
      </c>
      <c r="C45" t="s">
        <v>591</v>
      </c>
      <c r="E45" s="146">
        <v>29357.163636363632</v>
      </c>
      <c r="G45" s="144">
        <f>_xlfn.XLOOKUP(C45,'WP8 Amortization of prem or dis'!$V$12:$V$53,'WP8 Amortization of prem or dis'!$W$12:$W$53,0,0,1)</f>
        <v>0.51939999999999997</v>
      </c>
      <c r="I45" s="146">
        <f t="shared" si="0"/>
        <v>15248.11079272727</v>
      </c>
    </row>
    <row r="46" spans="1:9">
      <c r="A46" s="142">
        <f t="shared" si="1"/>
        <v>34</v>
      </c>
      <c r="C46" t="s">
        <v>592</v>
      </c>
      <c r="E46" s="146">
        <v>82314.499775280899</v>
      </c>
      <c r="G46" s="144">
        <f>_xlfn.XLOOKUP(C46,'WP8 Amortization of prem or dis'!$V$12:$V$53,'WP8 Amortization of prem or dis'!$W$12:$W$53,0,0,1)</f>
        <v>0.21886583948074967</v>
      </c>
      <c r="I46" s="146">
        <f t="shared" si="0"/>
        <v>18015.832094754835</v>
      </c>
    </row>
    <row r="47" spans="1:9">
      <c r="A47" s="142">
        <f t="shared" si="1"/>
        <v>35</v>
      </c>
      <c r="C47" t="s">
        <v>616</v>
      </c>
      <c r="E47" s="146">
        <v>38957.615206611568</v>
      </c>
      <c r="G47" s="144">
        <f>_xlfn.XLOOKUP(C47,'WP8 Amortization of prem or dis'!$V$12:$V$53,'WP8 Amortization of prem or dis'!$W$12:$W$53,0,0,1)</f>
        <v>0.62560000000000004</v>
      </c>
      <c r="I47" s="146">
        <f t="shared" si="0"/>
        <v>24371.884073256198</v>
      </c>
    </row>
    <row r="48" spans="1:9">
      <c r="A48" s="142">
        <f t="shared" si="1"/>
        <v>36</v>
      </c>
      <c r="C48" t="s">
        <v>617</v>
      </c>
      <c r="E48" s="146">
        <v>41642.609876543203</v>
      </c>
      <c r="G48" s="144">
        <f>_xlfn.XLOOKUP(C48,'WP8 Amortization of prem or dis'!$V$12:$V$53,'WP8 Amortization of prem or dis'!$W$12:$W$53,0,0,1)</f>
        <v>0.1145</v>
      </c>
      <c r="I48" s="146">
        <f t="shared" si="0"/>
        <v>4768.0788308641968</v>
      </c>
    </row>
    <row r="49" spans="1:9">
      <c r="A49" s="142">
        <f t="shared" si="1"/>
        <v>37</v>
      </c>
      <c r="C49" t="s">
        <v>697</v>
      </c>
      <c r="E49" s="146">
        <v>82592.352066115694</v>
      </c>
      <c r="G49" s="144">
        <f>_xlfn.XLOOKUP(C49,'WP8 Amortization of prem or dis'!$V$12:$V$53,'WP8 Amortization of prem or dis'!$W$12:$W$53,0,0,1)</f>
        <v>0.66890000000000005</v>
      </c>
      <c r="I49" s="146">
        <f t="shared" si="0"/>
        <v>55246.024297024793</v>
      </c>
    </row>
    <row r="50" spans="1:9">
      <c r="A50" s="142">
        <f t="shared" si="1"/>
        <v>38</v>
      </c>
      <c r="C50" t="s">
        <v>698</v>
      </c>
      <c r="E50" s="146">
        <v>133860.01534001384</v>
      </c>
      <c r="G50" s="144">
        <f>_xlfn.XLOOKUP(C50,'WP8 Amortization of prem or dis'!$V$12:$V$53,'WP8 Amortization of prem or dis'!$W$12:$W$53,0,0,1)</f>
        <v>0.24529999999999999</v>
      </c>
      <c r="I50" s="146">
        <f t="shared" si="0"/>
        <v>32835.861762905392</v>
      </c>
    </row>
    <row r="51" spans="1:9">
      <c r="A51" s="142">
        <f t="shared" si="1"/>
        <v>39</v>
      </c>
      <c r="C51" t="s">
        <v>624</v>
      </c>
      <c r="E51" s="146">
        <v>17427.186666666665</v>
      </c>
      <c r="G51" s="144">
        <f>_xlfn.XLOOKUP(C51,'WP8 Amortization of prem or dis'!$V$12:$V$53,'WP8 Amortization of prem or dis'!$W$12:$W$53,0,0,1)</f>
        <v>0</v>
      </c>
      <c r="I51" s="146">
        <f t="shared" si="0"/>
        <v>0</v>
      </c>
    </row>
    <row r="52" spans="1:9" ht="15.75" thickBot="1">
      <c r="A52" s="142">
        <f t="shared" si="1"/>
        <v>40</v>
      </c>
      <c r="C52" t="s">
        <v>145</v>
      </c>
      <c r="E52" s="147">
        <f>SUM(E13:E51)</f>
        <v>1362826.0577100448</v>
      </c>
      <c r="I52" s="148">
        <f>SUM(I13:I51)</f>
        <v>667837.32224967203</v>
      </c>
    </row>
    <row r="53" spans="1:9" ht="30.75" thickTop="1">
      <c r="E53" s="51" t="s">
        <v>648</v>
      </c>
      <c r="I53" s="51" t="s">
        <v>649</v>
      </c>
    </row>
  </sheetData>
  <pageMargins left="0.7" right="0.7" top="0.75" bottom="0.75" header="0.3" footer="0.3"/>
  <pageSetup scale="8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D569A-BACE-4816-8380-C1410BE205AC}">
  <sheetPr>
    <tabColor rgb="FF0070C0"/>
  </sheetPr>
  <dimension ref="A1:E23"/>
  <sheetViews>
    <sheetView zoomScaleNormal="100" workbookViewId="0"/>
  </sheetViews>
  <sheetFormatPr defaultRowHeight="14.25"/>
  <cols>
    <col min="1" max="1" width="11.85546875" style="131" customWidth="1"/>
    <col min="2" max="2" width="20.42578125" style="131" customWidth="1"/>
    <col min="3" max="3" width="20.85546875" style="131" customWidth="1"/>
    <col min="4" max="4" width="22.5703125" style="131" customWidth="1"/>
    <col min="5" max="5" width="16.42578125" style="131" bestFit="1" customWidth="1"/>
    <col min="6" max="16384" width="9.140625" style="131"/>
  </cols>
  <sheetData>
    <row r="1" spans="1:5" ht="15">
      <c r="A1" s="123" t="str">
        <f>TOC!A1</f>
        <v>Colorado Springs Utilities</v>
      </c>
    </row>
    <row r="2" spans="1:5" ht="15">
      <c r="A2" s="124" t="str">
        <f>TOC!A2</f>
        <v>2027 Transmission Formula Rate (TFR) Backup</v>
      </c>
    </row>
    <row r="4" spans="1:5" ht="15">
      <c r="A4" s="123" t="s">
        <v>498</v>
      </c>
    </row>
    <row r="5" spans="1:5" ht="15">
      <c r="A5" s="125" t="str">
        <f>UPPER(VLOOKUP(A$4,TOC!$A$7:$C$39,3,FALSE))</f>
        <v>ACCOUNT 456.1 OTHER ELECTRIC REVENUES</v>
      </c>
    </row>
    <row r="8" spans="1:5" ht="15">
      <c r="A8" s="132">
        <v>2025</v>
      </c>
      <c r="B8" s="132" t="s">
        <v>473</v>
      </c>
      <c r="C8" s="132" t="s">
        <v>474</v>
      </c>
      <c r="D8" s="132" t="s">
        <v>475</v>
      </c>
      <c r="E8" s="132" t="s">
        <v>476</v>
      </c>
    </row>
    <row r="9" spans="1:5" ht="15">
      <c r="A9" s="123" t="s">
        <v>477</v>
      </c>
      <c r="B9" s="179">
        <v>-34047.51</v>
      </c>
      <c r="C9" s="179">
        <v>-122184.67</v>
      </c>
      <c r="D9" s="179">
        <v>-32.92</v>
      </c>
      <c r="E9" s="133">
        <f>SUM(B9:D9)</f>
        <v>-156265.1</v>
      </c>
    </row>
    <row r="10" spans="1:5" ht="15">
      <c r="A10" s="123" t="s">
        <v>478</v>
      </c>
      <c r="B10" s="179">
        <v>-47395.79</v>
      </c>
      <c r="C10" s="179">
        <v>-120437.11</v>
      </c>
      <c r="D10" s="179">
        <v>0</v>
      </c>
      <c r="E10" s="133">
        <f t="shared" ref="E10:E20" si="0">SUM(B10:D10)</f>
        <v>-167832.9</v>
      </c>
    </row>
    <row r="11" spans="1:5" ht="15">
      <c r="A11" s="123" t="s">
        <v>479</v>
      </c>
      <c r="B11" s="179">
        <v>-56531.87</v>
      </c>
      <c r="C11" s="179">
        <v>-72908.800000000003</v>
      </c>
      <c r="D11" s="179">
        <v>0</v>
      </c>
      <c r="E11" s="133">
        <f t="shared" si="0"/>
        <v>-129440.67000000001</v>
      </c>
    </row>
    <row r="12" spans="1:5" ht="15">
      <c r="A12" s="123" t="s">
        <v>480</v>
      </c>
      <c r="B12" s="179">
        <v>-420289.64</v>
      </c>
      <c r="C12" s="179">
        <v>-96541.48</v>
      </c>
      <c r="D12" s="179">
        <v>0</v>
      </c>
      <c r="E12" s="133">
        <f t="shared" si="0"/>
        <v>-516831.12</v>
      </c>
    </row>
    <row r="13" spans="1:5" ht="15">
      <c r="A13" s="123" t="s">
        <v>481</v>
      </c>
      <c r="B13" s="179">
        <v>-222391.06</v>
      </c>
      <c r="C13" s="179">
        <v>-135497.5</v>
      </c>
      <c r="D13" s="179">
        <v>0</v>
      </c>
      <c r="E13" s="133">
        <f t="shared" si="0"/>
        <v>-357888.56</v>
      </c>
    </row>
    <row r="14" spans="1:5" ht="15">
      <c r="A14" s="123" t="s">
        <v>482</v>
      </c>
      <c r="B14" s="179">
        <v>-623364.89</v>
      </c>
      <c r="C14" s="179">
        <v>-146233.64000000001</v>
      </c>
      <c r="D14" s="179">
        <v>0</v>
      </c>
      <c r="E14" s="133">
        <f t="shared" si="0"/>
        <v>-769598.53</v>
      </c>
    </row>
    <row r="15" spans="1:5" ht="15">
      <c r="A15" s="123" t="s">
        <v>483</v>
      </c>
      <c r="B15" s="179">
        <v>-568717.68999999994</v>
      </c>
      <c r="C15" s="179">
        <v>-156175.88</v>
      </c>
      <c r="D15" s="179">
        <v>0</v>
      </c>
      <c r="E15" s="133">
        <f t="shared" si="0"/>
        <v>-724893.57</v>
      </c>
    </row>
    <row r="16" spans="1:5" ht="15">
      <c r="A16" s="123" t="s">
        <v>484</v>
      </c>
      <c r="B16" s="179">
        <v>-486101.83</v>
      </c>
      <c r="C16" s="179">
        <v>-143008.35</v>
      </c>
      <c r="D16" s="179">
        <v>0</v>
      </c>
      <c r="E16" s="133">
        <f t="shared" si="0"/>
        <v>-629110.18000000005</v>
      </c>
    </row>
    <row r="17" spans="1:5" ht="15">
      <c r="A17" s="123" t="s">
        <v>485</v>
      </c>
      <c r="B17" s="179">
        <v>-657642.84</v>
      </c>
      <c r="C17" s="179">
        <v>-134123.54</v>
      </c>
      <c r="D17" s="179">
        <v>0</v>
      </c>
      <c r="E17" s="133">
        <f t="shared" si="0"/>
        <v>-791766.38</v>
      </c>
    </row>
    <row r="18" spans="1:5" ht="15">
      <c r="A18" s="123" t="s">
        <v>486</v>
      </c>
      <c r="B18" s="179">
        <v>-683526.19</v>
      </c>
      <c r="C18" s="179">
        <v>-123271.46</v>
      </c>
      <c r="D18" s="179">
        <v>0</v>
      </c>
      <c r="E18" s="133">
        <f t="shared" si="0"/>
        <v>-806797.64999999991</v>
      </c>
    </row>
    <row r="19" spans="1:5" ht="15">
      <c r="A19" s="123" t="s">
        <v>487</v>
      </c>
      <c r="B19" s="179">
        <v>-771484.45</v>
      </c>
      <c r="C19" s="179">
        <v>-139644.92000000001</v>
      </c>
      <c r="D19" s="179">
        <v>0</v>
      </c>
      <c r="E19" s="133">
        <f t="shared" si="0"/>
        <v>-911129.37</v>
      </c>
    </row>
    <row r="20" spans="1:5" ht="15">
      <c r="A20" s="123" t="s">
        <v>488</v>
      </c>
      <c r="B20" s="180">
        <v>-558875.59</v>
      </c>
      <c r="C20" s="180">
        <v>-95710.399999999994</v>
      </c>
      <c r="D20" s="180">
        <v>0</v>
      </c>
      <c r="E20" s="134">
        <f t="shared" si="0"/>
        <v>-654585.99</v>
      </c>
    </row>
    <row r="21" spans="1:5" ht="15">
      <c r="B21" s="135">
        <f>SUM(B9:B20)</f>
        <v>-5130369.3499999996</v>
      </c>
      <c r="C21" s="135">
        <f t="shared" ref="C21:D21" si="1">SUM(C9:C20)</f>
        <v>-1485737.7499999998</v>
      </c>
      <c r="D21" s="135">
        <f t="shared" si="1"/>
        <v>-32.92</v>
      </c>
      <c r="E21" s="135">
        <f>SUM(B21:D21)</f>
        <v>-6616140.0199999996</v>
      </c>
    </row>
    <row r="23" spans="1:5" ht="30" customHeight="1">
      <c r="A23" s="267" t="s">
        <v>703</v>
      </c>
      <c r="B23" s="268"/>
      <c r="C23" s="268"/>
      <c r="D23" s="268"/>
      <c r="E23" s="268"/>
    </row>
  </sheetData>
  <mergeCells count="1">
    <mergeCell ref="A23:E23"/>
  </mergeCells>
  <pageMargins left="0.7" right="0.7" top="0.75" bottom="0.75" header="0.3" footer="0.3"/>
  <pageSetup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FACDF-59F7-4950-BB1D-37E73ED1A774}">
  <sheetPr>
    <tabColor rgb="FF0070C0"/>
  </sheetPr>
  <dimension ref="A1:K61"/>
  <sheetViews>
    <sheetView workbookViewId="0"/>
  </sheetViews>
  <sheetFormatPr defaultRowHeight="15"/>
  <cols>
    <col min="1" max="1" width="2.140625" customWidth="1"/>
    <col min="2" max="2" width="12.42578125" customWidth="1"/>
    <col min="3" max="3" width="14.28515625" bestFit="1" customWidth="1"/>
    <col min="4" max="4" width="10.7109375" customWidth="1"/>
    <col min="5" max="5" width="4.7109375" customWidth="1"/>
    <col min="6" max="6" width="13.28515625" bestFit="1" customWidth="1"/>
    <col min="9" max="9" width="11.85546875" customWidth="1"/>
    <col min="11" max="11" width="15.28515625" bestFit="1" customWidth="1"/>
  </cols>
  <sheetData>
    <row r="1" spans="1:9" s="93" customFormat="1">
      <c r="A1" s="123" t="str">
        <f>TOC!A1</f>
        <v>Colorado Springs Utilities</v>
      </c>
      <c r="B1" s="131"/>
      <c r="C1" s="131"/>
      <c r="D1" s="131"/>
      <c r="E1" s="131"/>
      <c r="F1" s="131"/>
      <c r="G1" s="131"/>
    </row>
    <row r="2" spans="1:9" s="93" customFormat="1">
      <c r="A2" s="124" t="str">
        <f>TOC!A2</f>
        <v>2027 Transmission Formula Rate (TFR) Backup</v>
      </c>
      <c r="B2" s="131"/>
      <c r="C2" s="131"/>
      <c r="D2" s="131"/>
      <c r="E2" s="131"/>
      <c r="F2" s="131"/>
      <c r="G2" s="131"/>
    </row>
    <row r="3" spans="1:9" s="93" customFormat="1">
      <c r="A3" s="131"/>
      <c r="B3" s="131"/>
      <c r="C3" s="131"/>
      <c r="D3" s="131"/>
      <c r="E3" s="131"/>
      <c r="F3" s="131"/>
      <c r="G3" s="131"/>
    </row>
    <row r="4" spans="1:9" s="93" customFormat="1">
      <c r="A4" s="123" t="s">
        <v>657</v>
      </c>
      <c r="B4" s="131"/>
      <c r="C4" s="131"/>
      <c r="D4" s="131"/>
      <c r="E4" s="131"/>
      <c r="F4" s="131"/>
      <c r="G4" s="131"/>
    </row>
    <row r="5" spans="1:9" s="93" customFormat="1">
      <c r="A5" s="125" t="str">
        <f>UPPER(VLOOKUP(A$4,TOC!$A$7:$C$39,3,FALSE))</f>
        <v>MISC SUPPORT</v>
      </c>
      <c r="B5" s="131"/>
      <c r="C5" s="131"/>
      <c r="D5" s="131"/>
      <c r="E5" s="131"/>
      <c r="F5" s="131"/>
      <c r="G5" s="131"/>
    </row>
    <row r="6" spans="1:9">
      <c r="A6" s="131"/>
      <c r="B6" s="131"/>
      <c r="C6" s="131"/>
      <c r="D6" s="131"/>
      <c r="E6" s="131"/>
      <c r="F6" s="131"/>
      <c r="G6" s="131"/>
    </row>
    <row r="8" spans="1:9" ht="15.75">
      <c r="B8" s="269" t="s">
        <v>65</v>
      </c>
      <c r="C8" s="270"/>
      <c r="D8" s="270"/>
      <c r="E8" s="270"/>
      <c r="F8" s="270"/>
      <c r="G8" s="270"/>
      <c r="H8" s="270"/>
      <c r="I8" s="271"/>
    </row>
    <row r="9" spans="1:9" ht="15.75">
      <c r="B9" s="272" t="s">
        <v>673</v>
      </c>
      <c r="C9" s="273"/>
      <c r="D9" s="273"/>
      <c r="E9" s="273"/>
      <c r="F9" s="273"/>
      <c r="G9" s="273"/>
      <c r="H9" s="273"/>
      <c r="I9" s="274"/>
    </row>
    <row r="10" spans="1:9" ht="15.75">
      <c r="B10" s="272" t="s">
        <v>674</v>
      </c>
      <c r="C10" s="273"/>
      <c r="D10" s="273"/>
      <c r="E10" s="273"/>
      <c r="F10" s="273"/>
      <c r="G10" s="273"/>
      <c r="H10" s="273"/>
      <c r="I10" s="274"/>
    </row>
    <row r="11" spans="1:9">
      <c r="B11" s="275" t="s">
        <v>675</v>
      </c>
      <c r="C11" s="276"/>
      <c r="D11" s="276"/>
      <c r="E11" s="276"/>
      <c r="F11" s="276"/>
      <c r="G11" s="276"/>
      <c r="H11" s="276"/>
      <c r="I11" s="277"/>
    </row>
    <row r="12" spans="1:9">
      <c r="B12" s="248" t="s">
        <v>677</v>
      </c>
      <c r="I12" s="98"/>
    </row>
    <row r="13" spans="1:9" ht="7.5" customHeight="1">
      <c r="B13" s="248"/>
      <c r="I13" s="98"/>
    </row>
    <row r="14" spans="1:9">
      <c r="B14" s="103"/>
      <c r="F14" s="20">
        <v>46022</v>
      </c>
      <c r="I14" s="98"/>
    </row>
    <row r="15" spans="1:9">
      <c r="B15" s="104" t="s">
        <v>676</v>
      </c>
      <c r="I15" s="98"/>
    </row>
    <row r="16" spans="1:9">
      <c r="B16" s="103"/>
      <c r="I16" s="98"/>
    </row>
    <row r="17" spans="2:11">
      <c r="B17" s="105" t="s">
        <v>689</v>
      </c>
      <c r="C17" s="106"/>
      <c r="F17" s="101">
        <v>24620.854170000002</v>
      </c>
      <c r="I17" s="98"/>
    </row>
    <row r="18" spans="2:11">
      <c r="B18" s="105" t="s">
        <v>687</v>
      </c>
      <c r="C18" s="106"/>
      <c r="F18" s="101">
        <v>400.326179889</v>
      </c>
      <c r="I18" s="98"/>
    </row>
    <row r="19" spans="2:11">
      <c r="B19" s="107" t="s">
        <v>690</v>
      </c>
      <c r="C19" s="106"/>
      <c r="F19" s="97">
        <v>25021.180349889</v>
      </c>
      <c r="G19" t="s">
        <v>696</v>
      </c>
      <c r="I19" s="98"/>
      <c r="K19" s="9"/>
    </row>
    <row r="20" spans="2:11" ht="7.5" customHeight="1">
      <c r="B20" s="103"/>
      <c r="I20" s="98"/>
    </row>
    <row r="21" spans="2:11">
      <c r="B21" s="104" t="s">
        <v>678</v>
      </c>
      <c r="C21" s="106"/>
      <c r="F21" s="101"/>
      <c r="I21" s="98"/>
    </row>
    <row r="22" spans="2:11">
      <c r="B22" s="108" t="s">
        <v>679</v>
      </c>
      <c r="C22" s="106"/>
      <c r="F22" s="101">
        <v>41109.199617189501</v>
      </c>
      <c r="I22" s="98"/>
    </row>
    <row r="23" spans="2:11">
      <c r="B23" s="109" t="s">
        <v>680</v>
      </c>
      <c r="C23" s="106"/>
      <c r="F23" s="102">
        <v>56344.485738953212</v>
      </c>
      <c r="I23" s="98"/>
    </row>
    <row r="24" spans="2:11">
      <c r="B24" s="110" t="s">
        <v>681</v>
      </c>
      <c r="C24" s="106"/>
      <c r="F24" s="97">
        <v>97453.685356142712</v>
      </c>
      <c r="G24" t="s">
        <v>695</v>
      </c>
      <c r="I24" s="98"/>
      <c r="K24" s="9"/>
    </row>
    <row r="25" spans="2:11" ht="7.5" customHeight="1">
      <c r="B25" s="103"/>
      <c r="I25" s="98"/>
    </row>
    <row r="26" spans="2:11">
      <c r="B26" s="105" t="s">
        <v>682</v>
      </c>
      <c r="C26" s="106"/>
      <c r="F26" s="101"/>
      <c r="I26" s="98"/>
    </row>
    <row r="27" spans="2:11">
      <c r="B27" s="108" t="s">
        <v>683</v>
      </c>
      <c r="C27" s="106"/>
      <c r="F27" s="101"/>
      <c r="I27" s="98"/>
    </row>
    <row r="28" spans="2:11">
      <c r="B28" s="109" t="s">
        <v>684</v>
      </c>
      <c r="C28" s="106"/>
      <c r="F28" s="101">
        <v>141982.35999000003</v>
      </c>
      <c r="G28" t="s">
        <v>688</v>
      </c>
      <c r="I28" s="98"/>
      <c r="K28" s="9"/>
    </row>
    <row r="29" spans="2:11">
      <c r="B29" s="109" t="s">
        <v>685</v>
      </c>
      <c r="C29" s="106"/>
      <c r="F29" s="101">
        <v>291601.84953999997</v>
      </c>
      <c r="I29" s="98"/>
    </row>
    <row r="30" spans="2:11">
      <c r="B30" s="111" t="s">
        <v>686</v>
      </c>
      <c r="C30" s="99"/>
      <c r="D30" s="99"/>
      <c r="E30" s="99"/>
      <c r="F30" s="97">
        <v>433584.20952999999</v>
      </c>
      <c r="G30" s="99"/>
      <c r="H30" s="99"/>
      <c r="I30" s="100"/>
    </row>
    <row r="33" spans="2:9" ht="15.75">
      <c r="B33" s="181" t="s">
        <v>785</v>
      </c>
      <c r="C33" s="182"/>
      <c r="D33" s="182"/>
      <c r="E33" s="182"/>
      <c r="F33" s="182"/>
      <c r="G33" s="182"/>
      <c r="H33" s="182"/>
      <c r="I33" s="183"/>
    </row>
    <row r="34" spans="2:9">
      <c r="B34" s="184"/>
      <c r="C34" s="185"/>
      <c r="D34" s="186" t="s">
        <v>799</v>
      </c>
      <c r="F34" s="187"/>
      <c r="I34" s="98"/>
    </row>
    <row r="35" spans="2:9">
      <c r="B35" s="184"/>
      <c r="C35" s="185"/>
      <c r="D35" s="186" t="s">
        <v>786</v>
      </c>
      <c r="F35" s="187"/>
      <c r="I35" s="98"/>
    </row>
    <row r="36" spans="2:9">
      <c r="B36" s="184"/>
      <c r="C36" s="185"/>
      <c r="D36" s="186" t="s">
        <v>787</v>
      </c>
      <c r="F36" s="187"/>
      <c r="I36" s="98"/>
    </row>
    <row r="37" spans="2:9">
      <c r="B37" s="184"/>
      <c r="C37" s="185"/>
      <c r="D37" s="186" t="s">
        <v>788</v>
      </c>
      <c r="F37" s="187" t="s">
        <v>789</v>
      </c>
      <c r="I37" s="98"/>
    </row>
    <row r="38" spans="2:9">
      <c r="B38" s="188" t="s">
        <v>790</v>
      </c>
      <c r="C38" s="189" t="s">
        <v>791</v>
      </c>
      <c r="D38" s="190">
        <v>22990787.420000002</v>
      </c>
      <c r="E38" s="99"/>
      <c r="F38" s="191">
        <f>D38*0.3764</f>
        <v>8653732.3848880008</v>
      </c>
      <c r="G38" s="99" t="s">
        <v>792</v>
      </c>
      <c r="H38" s="99"/>
      <c r="I38" s="100"/>
    </row>
    <row r="61" spans="2:2">
      <c r="B61" t="s">
        <v>793</v>
      </c>
    </row>
  </sheetData>
  <mergeCells count="4">
    <mergeCell ref="B8:I8"/>
    <mergeCell ref="B9:I9"/>
    <mergeCell ref="B10:I10"/>
    <mergeCell ref="B11:I1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92D050"/>
  </sheetPr>
  <dimension ref="A1:P24"/>
  <sheetViews>
    <sheetView workbookViewId="0">
      <selection activeCell="Q19" sqref="Q19"/>
    </sheetView>
  </sheetViews>
  <sheetFormatPr defaultRowHeight="15"/>
  <cols>
    <col min="2" max="2" width="12.5703125" bestFit="1" customWidth="1"/>
    <col min="7" max="7" width="11.5703125" bestFit="1" customWidth="1"/>
    <col min="8" max="8" width="12.5703125" bestFit="1" customWidth="1"/>
    <col min="12" max="14" width="12.5703125" hidden="1" customWidth="1"/>
    <col min="15" max="16" width="0" hidden="1" customWidth="1"/>
  </cols>
  <sheetData>
    <row r="1" spans="1:15">
      <c r="A1" s="1" t="str">
        <f>TOC!A1</f>
        <v>Colorado Springs Utilities</v>
      </c>
    </row>
    <row r="2" spans="1:15">
      <c r="A2" s="3" t="str">
        <f>TOC!A2</f>
        <v>2027 Transmission Formula Rate (TFR) Backup</v>
      </c>
    </row>
    <row r="4" spans="1:15">
      <c r="A4" s="1" t="s">
        <v>68</v>
      </c>
    </row>
    <row r="5" spans="1:15">
      <c r="A5" s="2" t="e">
        <f>UPPER(VLOOKUP(A$4,TOC!$A$7:$C$41,3,FALSE))</f>
        <v>#N/A</v>
      </c>
    </row>
    <row r="8" spans="1:15">
      <c r="B8" t="s">
        <v>138</v>
      </c>
      <c r="C8" t="s">
        <v>139</v>
      </c>
      <c r="D8" t="s">
        <v>146</v>
      </c>
      <c r="E8" t="s">
        <v>140</v>
      </c>
      <c r="G8" t="s">
        <v>147</v>
      </c>
      <c r="H8" t="s">
        <v>141</v>
      </c>
      <c r="L8" t="s">
        <v>148</v>
      </c>
      <c r="M8" t="s">
        <v>142</v>
      </c>
    </row>
    <row r="9" spans="1:15">
      <c r="B9" t="s">
        <v>69</v>
      </c>
      <c r="C9">
        <v>350000</v>
      </c>
      <c r="D9" t="str">
        <f>CONCATENATE("E",LEFT(C9,3))</f>
        <v>E350</v>
      </c>
      <c r="E9">
        <v>0</v>
      </c>
      <c r="G9" s="4">
        <f>SUMPRODUCT(('WP4 Elec Plant YE'!$D$10:$D$122='Capital - Depreciation'!$D9)*('WP4 Elec Plant YE'!$H$10:$H$122))</f>
        <v>15089020.779999999</v>
      </c>
      <c r="H9" s="5">
        <f>G9/SUM($G$9:$G$22)</f>
        <v>4.947347087179018E-2</v>
      </c>
      <c r="I9" s="6">
        <f t="shared" ref="I9:I17" si="0">H9*E9</f>
        <v>0</v>
      </c>
      <c r="L9" s="4">
        <v>15089020.779999999</v>
      </c>
      <c r="M9" s="4">
        <v>14986355.609999999</v>
      </c>
      <c r="N9" s="5">
        <f>M9/SUM($M$9:$M$22)</f>
        <v>5.4737010420988386E-2</v>
      </c>
      <c r="O9" s="6">
        <f t="shared" ref="O9:O22" si="1">N9*E9</f>
        <v>0</v>
      </c>
    </row>
    <row r="10" spans="1:15">
      <c r="B10" t="s">
        <v>69</v>
      </c>
      <c r="C10">
        <v>352000</v>
      </c>
      <c r="D10" t="str">
        <f t="shared" ref="D10:D22" si="2">CONCATENATE("E",LEFT(C10,3))</f>
        <v>E352</v>
      </c>
      <c r="E10">
        <v>57</v>
      </c>
      <c r="G10" s="4">
        <f>SUMPRODUCT(('WP4 Elec Plant YE'!$D$10:$D$122='Capital - Depreciation'!$D10)*('WP4 Elec Plant YE'!$H$10:$H$122))</f>
        <v>117824233.13999997</v>
      </c>
      <c r="H10" s="5">
        <f t="shared" ref="H10:H22" si="3">G10/SUM($G$9:$G$22)</f>
        <v>0.38631889048553647</v>
      </c>
      <c r="I10" s="6">
        <f t="shared" si="0"/>
        <v>22.020176757675578</v>
      </c>
      <c r="L10" s="4">
        <v>8296633.6699999999</v>
      </c>
      <c r="M10" s="4">
        <v>8261245.5199999996</v>
      </c>
      <c r="N10" s="5">
        <f t="shared" ref="N10:N22" si="4">M10/SUM($M$9:$M$22)</f>
        <v>3.0173839049758386E-2</v>
      </c>
      <c r="O10" s="6">
        <f t="shared" si="1"/>
        <v>1.7199088258362281</v>
      </c>
    </row>
    <row r="11" spans="1:15">
      <c r="B11" t="s">
        <v>69</v>
      </c>
      <c r="C11">
        <v>353000</v>
      </c>
      <c r="D11" t="str">
        <f t="shared" si="2"/>
        <v>E353</v>
      </c>
      <c r="E11">
        <v>25</v>
      </c>
      <c r="G11" s="4">
        <f>SUMPRODUCT(('WP4 Elec Plant YE'!$D$10:$D$122='Capital - Depreciation'!$D11)*('WP4 Elec Plant YE'!$H$10:$H$122))</f>
        <v>73381398.75999999</v>
      </c>
      <c r="H11" s="5">
        <f t="shared" si="3"/>
        <v>0.24060093408421165</v>
      </c>
      <c r="I11" s="6">
        <f t="shared" si="0"/>
        <v>6.0150233521052909</v>
      </c>
      <c r="L11" s="4">
        <v>61119036.880000003</v>
      </c>
      <c r="M11" s="4">
        <v>57120266.509999998</v>
      </c>
      <c r="N11" s="5">
        <f t="shared" si="4"/>
        <v>0.20862928283386065</v>
      </c>
      <c r="O11" s="6">
        <f t="shared" si="1"/>
        <v>5.2157320708465162</v>
      </c>
    </row>
    <row r="12" spans="1:15">
      <c r="B12" t="s">
        <v>69</v>
      </c>
      <c r="C12">
        <v>354000</v>
      </c>
      <c r="D12" t="str">
        <f t="shared" si="2"/>
        <v>E354</v>
      </c>
      <c r="E12">
        <v>20</v>
      </c>
      <c r="G12" s="4">
        <f>SUMPRODUCT(('WP4 Elec Plant YE'!$D$10:$D$122='Capital - Depreciation'!$D12)*('WP4 Elec Plant YE'!$H$10:$H$122))</f>
        <v>2374769.2799999998</v>
      </c>
      <c r="H12" s="5">
        <f t="shared" si="3"/>
        <v>7.7863289151956575E-3</v>
      </c>
      <c r="I12" s="6">
        <f t="shared" si="0"/>
        <v>0.15572657830391315</v>
      </c>
      <c r="L12" s="4">
        <v>3731697.9</v>
      </c>
      <c r="M12" s="4">
        <v>3713553.33</v>
      </c>
      <c r="N12" s="5">
        <f t="shared" si="4"/>
        <v>1.3563591617128732E-2</v>
      </c>
      <c r="O12" s="6">
        <f t="shared" si="1"/>
        <v>0.27127183234257463</v>
      </c>
    </row>
    <row r="13" spans="1:15">
      <c r="B13" t="s">
        <v>69</v>
      </c>
      <c r="C13">
        <v>355000</v>
      </c>
      <c r="D13" t="str">
        <f t="shared" si="2"/>
        <v>E355</v>
      </c>
      <c r="E13">
        <v>20</v>
      </c>
      <c r="G13" s="4">
        <f>SUMPRODUCT(('WP4 Elec Plant YE'!$D$10:$D$122='Capital - Depreciation'!$D13)*('WP4 Elec Plant YE'!$H$10:$H$122))</f>
        <v>4650073.6700000018</v>
      </c>
      <c r="H13" s="5">
        <f t="shared" si="3"/>
        <v>1.5246535054770039E-2</v>
      </c>
      <c r="I13" s="6">
        <f t="shared" si="0"/>
        <v>0.30493070109540077</v>
      </c>
      <c r="L13" s="4">
        <v>20999825.219999999</v>
      </c>
      <c r="M13" s="4">
        <v>20932684.190000001</v>
      </c>
      <c r="N13" s="5">
        <f t="shared" si="4"/>
        <v>7.6455716283866368E-2</v>
      </c>
      <c r="O13" s="6">
        <f t="shared" si="1"/>
        <v>1.5291143256773274</v>
      </c>
    </row>
    <row r="14" spans="1:15">
      <c r="B14" t="s">
        <v>69</v>
      </c>
      <c r="C14">
        <v>356000</v>
      </c>
      <c r="D14" t="str">
        <f t="shared" si="2"/>
        <v>E356</v>
      </c>
      <c r="E14">
        <v>33.33</v>
      </c>
      <c r="G14" s="4">
        <f>SUMPRODUCT(('WP4 Elec Plant YE'!$D$10:$D$122='Capital - Depreciation'!$D14)*('WP4 Elec Plant YE'!$H$10:$H$122))</f>
        <v>4203379.6700000037</v>
      </c>
      <c r="H14" s="5">
        <f t="shared" si="3"/>
        <v>1.3781926918840138E-2</v>
      </c>
      <c r="I14" s="6">
        <f t="shared" si="0"/>
        <v>0.45935162420494174</v>
      </c>
      <c r="L14" s="4">
        <v>7718734.5499999998</v>
      </c>
      <c r="M14" s="4">
        <v>7717914.3300000001</v>
      </c>
      <c r="N14" s="5">
        <f t="shared" si="4"/>
        <v>2.8189345568952879E-2</v>
      </c>
      <c r="O14" s="6">
        <f t="shared" si="1"/>
        <v>0.9395508878131994</v>
      </c>
    </row>
    <row r="15" spans="1:15">
      <c r="B15" t="s">
        <v>69</v>
      </c>
      <c r="C15">
        <v>357000</v>
      </c>
      <c r="D15" t="str">
        <f t="shared" si="2"/>
        <v>E357</v>
      </c>
      <c r="E15">
        <v>28.5</v>
      </c>
      <c r="G15" s="4">
        <f>SUMPRODUCT(('WP4 Elec Plant YE'!$D$10:$D$122='Capital - Depreciation'!$D15)*('WP4 Elec Plant YE'!$H$10:$H$122))</f>
        <v>7106360.2900000028</v>
      </c>
      <c r="H15" s="5">
        <f t="shared" si="3"/>
        <v>2.3300140806868288E-2</v>
      </c>
      <c r="I15" s="6">
        <f t="shared" si="0"/>
        <v>0.66405401299574618</v>
      </c>
      <c r="L15" s="4">
        <v>19561324.82</v>
      </c>
      <c r="M15" s="4">
        <v>19561324.82</v>
      </c>
      <c r="N15" s="5">
        <f t="shared" si="4"/>
        <v>7.14468859798182E-2</v>
      </c>
      <c r="O15" s="6">
        <f t="shared" si="1"/>
        <v>2.0362362504248188</v>
      </c>
    </row>
    <row r="16" spans="1:15">
      <c r="B16" t="s">
        <v>69</v>
      </c>
      <c r="C16">
        <v>358000</v>
      </c>
      <c r="D16" t="str">
        <f t="shared" si="2"/>
        <v>E358</v>
      </c>
      <c r="E16">
        <v>28.5</v>
      </c>
      <c r="G16" s="4">
        <f>SUMPRODUCT(('WP4 Elec Plant YE'!$D$10:$D$122='Capital - Depreciation'!$D16)*('WP4 Elec Plant YE'!$H$10:$H$122))</f>
        <v>1374409.1300000027</v>
      </c>
      <c r="H16" s="5">
        <f t="shared" si="3"/>
        <v>4.506375267844095E-3</v>
      </c>
      <c r="I16" s="6">
        <f t="shared" si="0"/>
        <v>0.12843169513355671</v>
      </c>
      <c r="L16" s="4">
        <v>12268816.18</v>
      </c>
      <c r="M16" s="4">
        <v>12268816.18</v>
      </c>
      <c r="N16" s="5">
        <f t="shared" si="4"/>
        <v>4.4811316144782912E-2</v>
      </c>
      <c r="O16" s="6">
        <f t="shared" si="1"/>
        <v>1.2771225101263131</v>
      </c>
    </row>
    <row r="17" spans="2:16">
      <c r="B17" t="s">
        <v>69</v>
      </c>
      <c r="C17">
        <v>359000</v>
      </c>
      <c r="D17" t="str">
        <f t="shared" si="2"/>
        <v>E359</v>
      </c>
      <c r="E17">
        <v>28.5</v>
      </c>
      <c r="G17" s="4">
        <f>SUMPRODUCT(('WP4 Elec Plant YE'!$D$10:$D$122='Capital - Depreciation'!$D17)*('WP4 Elec Plant YE'!$H$10:$H$122))</f>
        <v>285.74000000002343</v>
      </c>
      <c r="H17" s="5">
        <f t="shared" si="3"/>
        <v>9.3687653910875501E-7</v>
      </c>
      <c r="I17" s="6">
        <f t="shared" si="0"/>
        <v>2.6700981364599517E-5</v>
      </c>
      <c r="L17" s="4">
        <v>23857.22</v>
      </c>
      <c r="M17" s="4">
        <v>23857.22</v>
      </c>
      <c r="N17" s="5">
        <f t="shared" si="4"/>
        <v>8.7137455812435027E-5</v>
      </c>
      <c r="O17" s="6">
        <f t="shared" si="1"/>
        <v>2.4834174906543981E-3</v>
      </c>
    </row>
    <row r="18" spans="2:16">
      <c r="I18" s="6"/>
      <c r="O18" s="6">
        <f t="shared" si="1"/>
        <v>0</v>
      </c>
    </row>
    <row r="19" spans="2:16">
      <c r="B19" t="s">
        <v>143</v>
      </c>
      <c r="C19">
        <v>360000</v>
      </c>
      <c r="D19" t="str">
        <f t="shared" si="2"/>
        <v>E360</v>
      </c>
      <c r="E19">
        <v>0</v>
      </c>
      <c r="G19" s="4">
        <f>SUMPRODUCT(('WP4 Elec Plant YE'!$D$10:$D$122='Capital - Depreciation'!$D19)*('WP4 Elec Plant YE'!$H$10:$H$122))</f>
        <v>3428458.71</v>
      </c>
      <c r="H19" s="5">
        <f t="shared" si="3"/>
        <v>1.1241137155112352E-2</v>
      </c>
      <c r="I19" s="6">
        <f>H19*E19</f>
        <v>0</v>
      </c>
      <c r="L19" s="4">
        <v>3428458.71</v>
      </c>
      <c r="M19" s="4">
        <v>3428458.71</v>
      </c>
      <c r="N19" s="5">
        <f t="shared" si="4"/>
        <v>1.2522295948454302E-2</v>
      </c>
      <c r="O19" s="6">
        <f t="shared" si="1"/>
        <v>0</v>
      </c>
    </row>
    <row r="20" spans="2:16">
      <c r="B20" t="s">
        <v>143</v>
      </c>
      <c r="C20">
        <v>361000</v>
      </c>
      <c r="D20" t="str">
        <f t="shared" si="2"/>
        <v>E361</v>
      </c>
      <c r="E20">
        <v>33.33</v>
      </c>
      <c r="G20" s="4">
        <f>SUMPRODUCT(('WP4 Elec Plant YE'!$D$10:$D$122='Capital - Depreciation'!$D20)*('WP4 Elec Plant YE'!$H$10:$H$122))</f>
        <v>12093322.399999995</v>
      </c>
      <c r="H20" s="5">
        <f t="shared" si="3"/>
        <v>3.9651256514444767E-2</v>
      </c>
      <c r="I20" s="6">
        <f>H20*E20</f>
        <v>1.3215763796264439</v>
      </c>
      <c r="L20" s="4">
        <v>21261430.52</v>
      </c>
      <c r="M20" s="4">
        <v>21259872.440000001</v>
      </c>
      <c r="N20" s="5">
        <f t="shared" si="4"/>
        <v>7.7650757100722764E-2</v>
      </c>
      <c r="O20" s="6">
        <f t="shared" si="1"/>
        <v>2.5880997341670895</v>
      </c>
    </row>
    <row r="21" spans="2:16">
      <c r="B21" t="s">
        <v>143</v>
      </c>
      <c r="C21">
        <v>362000</v>
      </c>
      <c r="D21" t="str">
        <f t="shared" si="2"/>
        <v>E362</v>
      </c>
      <c r="E21">
        <v>25</v>
      </c>
      <c r="G21" s="4">
        <f>SUMPRODUCT(('WP4 Elec Plant YE'!$D$10:$D$122='Capital - Depreciation'!$D21)*('WP4 Elec Plant YE'!$H$10:$H$122))</f>
        <v>62543759.769999966</v>
      </c>
      <c r="H21" s="5">
        <f t="shared" si="3"/>
        <v>0.20506677817653163</v>
      </c>
      <c r="I21" s="6">
        <f>H21*E21</f>
        <v>5.1266694544132907</v>
      </c>
      <c r="L21" s="4">
        <v>107767081.01000001</v>
      </c>
      <c r="M21" s="4">
        <v>103394693.92</v>
      </c>
      <c r="N21" s="5">
        <f t="shared" si="4"/>
        <v>0.37764461126209359</v>
      </c>
      <c r="O21" s="6">
        <f t="shared" si="1"/>
        <v>9.4411152815523405</v>
      </c>
    </row>
    <row r="22" spans="2:16">
      <c r="B22" t="s">
        <v>143</v>
      </c>
      <c r="C22">
        <v>363000</v>
      </c>
      <c r="D22" t="str">
        <f t="shared" si="2"/>
        <v>E363</v>
      </c>
      <c r="E22">
        <v>20</v>
      </c>
      <c r="G22" s="4">
        <f>SUMPRODUCT(('WP4 Elec Plant YE'!$D$10:$D$122='Capital - Depreciation'!$D22)*('WP4 Elec Plant YE'!$H$10:$H$122))</f>
        <v>922689.39000000036</v>
      </c>
      <c r="H22" s="5">
        <f t="shared" si="3"/>
        <v>3.0252888723157336E-3</v>
      </c>
      <c r="I22" s="6">
        <f>H22*E22</f>
        <v>6.0505777446314676E-2</v>
      </c>
      <c r="L22" s="4">
        <v>1119304.3500000001</v>
      </c>
      <c r="M22" s="4">
        <v>1119304.3500000001</v>
      </c>
      <c r="N22" s="5">
        <f t="shared" si="4"/>
        <v>4.0882103337602331E-3</v>
      </c>
      <c r="O22" s="6">
        <f t="shared" si="1"/>
        <v>8.1764206675204662E-2</v>
      </c>
    </row>
    <row r="24" spans="2:16">
      <c r="I24" s="9">
        <f>SUM(I9:I23)</f>
        <v>36.256473033981841</v>
      </c>
      <c r="J24" s="7">
        <f>1/I24</f>
        <v>2.7581281804844537E-2</v>
      </c>
      <c r="O24" s="8">
        <f>SUM(O9:O23)</f>
        <v>25.102399342952268</v>
      </c>
      <c r="P24" s="7">
        <f>1/O24</f>
        <v>3.9836829393790969E-2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70C0"/>
    <pageSetUpPr fitToPage="1"/>
  </sheetPr>
  <dimension ref="A1:Z33"/>
  <sheetViews>
    <sheetView zoomScaleNormal="100" workbookViewId="0"/>
  </sheetViews>
  <sheetFormatPr defaultRowHeight="15"/>
  <cols>
    <col min="1" max="1" width="1.7109375" customWidth="1"/>
    <col min="6" max="6" width="10.5703125" bestFit="1" customWidth="1"/>
    <col min="7" max="7" width="11.42578125" bestFit="1" customWidth="1"/>
    <col min="8" max="8" width="7" bestFit="1" customWidth="1"/>
    <col min="9" max="9" width="12.5703125" bestFit="1" customWidth="1"/>
    <col min="10" max="10" width="1.42578125" customWidth="1"/>
    <col min="11" max="13" width="11.85546875" customWidth="1"/>
    <col min="14" max="14" width="1.42578125" customWidth="1"/>
    <col min="16" max="16" width="14.5703125" customWidth="1"/>
    <col min="17" max="17" width="14.85546875" bestFit="1" customWidth="1"/>
    <col min="18" max="18" width="9.140625" customWidth="1"/>
    <col min="20" max="20" width="15.140625" bestFit="1" customWidth="1"/>
    <col min="23" max="23" width="10.7109375" bestFit="1" customWidth="1"/>
    <col min="24" max="24" width="10.5703125" bestFit="1" customWidth="1"/>
    <col min="26" max="26" width="12.85546875" bestFit="1" customWidth="1"/>
    <col min="27" max="28" width="9.5703125" bestFit="1" customWidth="1"/>
  </cols>
  <sheetData>
    <row r="1" spans="1:24">
      <c r="A1" s="12" t="str">
        <f>TOC!A1</f>
        <v>Colorado Springs Utilities</v>
      </c>
    </row>
    <row r="2" spans="1:24">
      <c r="A2" s="13" t="str">
        <f>TOC!A2</f>
        <v>2027 Transmission Formula Rate (TFR) Backup</v>
      </c>
    </row>
    <row r="4" spans="1:24">
      <c r="A4" s="12" t="s">
        <v>491</v>
      </c>
    </row>
    <row r="5" spans="1:24">
      <c r="A5" s="14" t="str">
        <f>UPPER(VLOOKUP(A$4,TOC!$A$7:$C$39,3,FALSE))</f>
        <v>MONTHLY PEAKS &amp; LOAD FACTORS</v>
      </c>
    </row>
    <row r="7" spans="1:24" ht="19.5" thickBot="1">
      <c r="C7" s="255" t="s">
        <v>386</v>
      </c>
      <c r="D7" s="255"/>
      <c r="E7" s="255"/>
      <c r="F7" s="255"/>
      <c r="G7" s="255"/>
      <c r="H7" s="255"/>
      <c r="I7" s="255"/>
    </row>
    <row r="8" spans="1:24" ht="15" hidden="1" customHeight="1">
      <c r="C8" s="252" t="s">
        <v>387</v>
      </c>
      <c r="D8" s="252"/>
      <c r="E8" s="252"/>
      <c r="F8" s="252"/>
      <c r="G8" s="252"/>
      <c r="H8" s="252"/>
      <c r="I8" s="252"/>
      <c r="L8" s="5"/>
      <c r="T8" s="20"/>
      <c r="U8" s="21"/>
      <c r="W8" s="10"/>
      <c r="X8" s="10"/>
    </row>
    <row r="9" spans="1:24" ht="15" hidden="1" customHeight="1">
      <c r="C9" s="58"/>
      <c r="D9" s="58"/>
      <c r="E9" s="58"/>
      <c r="F9" s="58"/>
      <c r="G9" s="58"/>
      <c r="H9" s="58"/>
      <c r="I9" s="58"/>
      <c r="T9" s="20"/>
      <c r="U9" s="21"/>
      <c r="W9" s="10"/>
      <c r="X9" s="10"/>
    </row>
    <row r="10" spans="1:24" ht="15" hidden="1" customHeight="1" thickBot="1">
      <c r="C10" s="57"/>
      <c r="D10" s="56"/>
      <c r="E10" s="59"/>
      <c r="F10" s="59"/>
      <c r="G10" s="59"/>
      <c r="H10" s="59"/>
      <c r="I10" s="59"/>
      <c r="T10" s="20"/>
      <c r="U10" s="21"/>
      <c r="W10" s="10"/>
      <c r="X10" s="10"/>
    </row>
    <row r="11" spans="1:24" ht="18.75">
      <c r="C11" s="60"/>
      <c r="D11" s="253">
        <v>2025</v>
      </c>
      <c r="E11" s="253"/>
      <c r="F11" s="253"/>
      <c r="G11" s="253"/>
      <c r="H11" s="253"/>
      <c r="I11" s="254"/>
      <c r="K11" s="256">
        <v>2025</v>
      </c>
      <c r="L11" s="254"/>
      <c r="T11" s="20"/>
      <c r="U11" s="21"/>
      <c r="W11" s="4"/>
      <c r="X11" s="4"/>
    </row>
    <row r="12" spans="1:24">
      <c r="C12" s="61" t="s">
        <v>388</v>
      </c>
      <c r="D12" s="243" t="s">
        <v>389</v>
      </c>
      <c r="E12" s="243" t="s">
        <v>390</v>
      </c>
      <c r="F12" s="243" t="s">
        <v>391</v>
      </c>
      <c r="G12" s="243" t="s">
        <v>392</v>
      </c>
      <c r="H12" s="243" t="s">
        <v>391</v>
      </c>
      <c r="I12" s="244" t="s">
        <v>393</v>
      </c>
      <c r="K12" s="239"/>
      <c r="L12" s="240"/>
      <c r="M12" s="56"/>
      <c r="N12" s="56"/>
      <c r="R12" s="56"/>
      <c r="S12" s="56"/>
      <c r="U12" s="21"/>
      <c r="W12" s="4"/>
      <c r="X12" s="4"/>
    </row>
    <row r="13" spans="1:24" ht="15.75" thickBot="1">
      <c r="C13" s="61" t="s">
        <v>389</v>
      </c>
      <c r="D13" s="243" t="s">
        <v>394</v>
      </c>
      <c r="E13" s="243" t="s">
        <v>395</v>
      </c>
      <c r="F13" s="243" t="s">
        <v>396</v>
      </c>
      <c r="G13" s="243" t="s">
        <v>397</v>
      </c>
      <c r="H13" s="243" t="s">
        <v>398</v>
      </c>
      <c r="I13" s="244" t="s">
        <v>399</v>
      </c>
      <c r="K13" s="239" t="s">
        <v>607</v>
      </c>
      <c r="L13" s="240"/>
      <c r="U13" s="21"/>
      <c r="W13" s="4"/>
      <c r="X13" s="4"/>
    </row>
    <row r="14" spans="1:24" ht="15.75" thickBot="1">
      <c r="C14" s="245" t="s">
        <v>391</v>
      </c>
      <c r="D14" s="246" t="s">
        <v>400</v>
      </c>
      <c r="E14" s="246" t="s">
        <v>401</v>
      </c>
      <c r="F14" s="246" t="s">
        <v>402</v>
      </c>
      <c r="G14" s="246" t="s">
        <v>403</v>
      </c>
      <c r="H14" s="246" t="s">
        <v>404</v>
      </c>
      <c r="I14" s="247" t="s">
        <v>391</v>
      </c>
      <c r="K14" s="241" t="s">
        <v>606</v>
      </c>
      <c r="L14" s="242" t="s">
        <v>605</v>
      </c>
      <c r="O14" s="207" t="s">
        <v>606</v>
      </c>
      <c r="P14" s="208" t="s">
        <v>795</v>
      </c>
      <c r="Q14" s="208" t="s">
        <v>796</v>
      </c>
      <c r="U14" s="21"/>
      <c r="W14" s="4"/>
      <c r="X14" s="4"/>
    </row>
    <row r="15" spans="1:24">
      <c r="C15" s="200">
        <v>825.24</v>
      </c>
      <c r="D15" s="193">
        <v>458608.89999999991</v>
      </c>
      <c r="E15" s="195">
        <v>0.74690000000000001</v>
      </c>
      <c r="F15" s="196">
        <v>45677</v>
      </c>
      <c r="G15" s="56" t="s">
        <v>405</v>
      </c>
      <c r="H15" s="56">
        <v>19</v>
      </c>
      <c r="I15" s="204">
        <v>-3.6655555566151938</v>
      </c>
      <c r="K15" s="234">
        <v>1</v>
      </c>
      <c r="L15" s="201">
        <f>41.382*1000</f>
        <v>41382</v>
      </c>
      <c r="M15" s="257" t="s">
        <v>800</v>
      </c>
      <c r="O15" s="238" t="s">
        <v>659</v>
      </c>
      <c r="P15" s="238">
        <v>902</v>
      </c>
      <c r="Q15" s="238">
        <v>47</v>
      </c>
      <c r="R15" s="251" t="s">
        <v>671</v>
      </c>
      <c r="U15" s="21"/>
      <c r="W15" s="4"/>
      <c r="X15" s="4"/>
    </row>
    <row r="16" spans="1:24">
      <c r="C16" s="200">
        <v>783.89099999999996</v>
      </c>
      <c r="D16" s="193">
        <v>390540.61900000001</v>
      </c>
      <c r="E16" s="195">
        <v>0.74139999999999995</v>
      </c>
      <c r="F16" s="196">
        <v>45700</v>
      </c>
      <c r="G16" s="56" t="s">
        <v>407</v>
      </c>
      <c r="H16" s="56">
        <v>19</v>
      </c>
      <c r="I16" s="204">
        <v>3.6681480407714844</v>
      </c>
      <c r="K16" s="234">
        <v>2</v>
      </c>
      <c r="L16" s="201">
        <f>38.038*1000</f>
        <v>38038</v>
      </c>
      <c r="M16" s="257"/>
      <c r="O16" s="237" t="s">
        <v>660</v>
      </c>
      <c r="P16" s="237">
        <v>737</v>
      </c>
      <c r="Q16" s="237">
        <v>39</v>
      </c>
      <c r="R16" s="251"/>
      <c r="U16" s="21"/>
      <c r="W16" s="4"/>
      <c r="X16" s="4"/>
    </row>
    <row r="17" spans="3:26">
      <c r="C17" s="200">
        <v>731.79100000000005</v>
      </c>
      <c r="D17" s="193">
        <v>398459.01599999995</v>
      </c>
      <c r="E17" s="195">
        <v>0.7319</v>
      </c>
      <c r="F17" s="196">
        <v>45735</v>
      </c>
      <c r="G17" s="56" t="s">
        <v>407</v>
      </c>
      <c r="H17" s="56">
        <v>10</v>
      </c>
      <c r="I17" s="204">
        <v>27</v>
      </c>
      <c r="K17" s="234">
        <v>3</v>
      </c>
      <c r="L17" s="201">
        <f>25.782*1000</f>
        <v>25782</v>
      </c>
      <c r="M17" s="257"/>
      <c r="O17" s="237" t="s">
        <v>661</v>
      </c>
      <c r="P17" s="237">
        <v>713</v>
      </c>
      <c r="Q17" s="237">
        <v>38</v>
      </c>
      <c r="R17" s="251"/>
      <c r="U17" s="21"/>
      <c r="W17" s="4"/>
      <c r="X17" s="4"/>
    </row>
    <row r="18" spans="3:26">
      <c r="C18" s="200">
        <v>718.70799999999997</v>
      </c>
      <c r="D18" s="193">
        <v>381662.00599999999</v>
      </c>
      <c r="E18" s="195">
        <v>0.73760000000000003</v>
      </c>
      <c r="F18" s="196">
        <v>45752</v>
      </c>
      <c r="G18" s="56" t="s">
        <v>797</v>
      </c>
      <c r="H18" s="56">
        <v>13</v>
      </c>
      <c r="I18" s="204">
        <v>27.666666666666668</v>
      </c>
      <c r="K18" s="234">
        <v>4</v>
      </c>
      <c r="L18" s="201">
        <f>29.906*1000</f>
        <v>29906</v>
      </c>
      <c r="M18" s="257"/>
      <c r="O18" s="237" t="s">
        <v>662</v>
      </c>
      <c r="P18" s="237">
        <v>669</v>
      </c>
      <c r="Q18" s="237">
        <v>36</v>
      </c>
      <c r="R18" s="251"/>
    </row>
    <row r="19" spans="3:26">
      <c r="C19" s="200">
        <v>689.08600000000001</v>
      </c>
      <c r="D19" s="193">
        <v>383633.94999999995</v>
      </c>
      <c r="E19" s="195">
        <v>0.74829999999999997</v>
      </c>
      <c r="F19" s="196">
        <v>45790</v>
      </c>
      <c r="G19" s="56" t="s">
        <v>408</v>
      </c>
      <c r="H19" s="56">
        <v>19</v>
      </c>
      <c r="I19" s="204">
        <v>79.333333333333329</v>
      </c>
      <c r="K19" s="234">
        <v>5</v>
      </c>
      <c r="L19" s="201">
        <f>42.054*1000</f>
        <v>42054</v>
      </c>
      <c r="M19" s="257"/>
      <c r="O19" s="237" t="s">
        <v>663</v>
      </c>
      <c r="P19" s="237">
        <v>687</v>
      </c>
      <c r="Q19" s="237">
        <v>38</v>
      </c>
      <c r="R19" s="251"/>
    </row>
    <row r="20" spans="3:26">
      <c r="C20" s="200">
        <v>901.50099999999998</v>
      </c>
      <c r="D20" s="193">
        <v>418663.19499999995</v>
      </c>
      <c r="E20" s="195">
        <v>0.64500000000000002</v>
      </c>
      <c r="F20" s="196">
        <v>45829</v>
      </c>
      <c r="G20" s="56" t="s">
        <v>797</v>
      </c>
      <c r="H20" s="56">
        <v>18</v>
      </c>
      <c r="I20" s="204">
        <v>93</v>
      </c>
      <c r="K20" s="234">
        <v>6</v>
      </c>
      <c r="L20" s="201">
        <f>57.384*1000</f>
        <v>57384</v>
      </c>
      <c r="M20" s="257"/>
      <c r="O20" s="237" t="s">
        <v>664</v>
      </c>
      <c r="P20" s="237">
        <v>1038</v>
      </c>
      <c r="Q20" s="237">
        <v>62</v>
      </c>
      <c r="R20" s="251"/>
    </row>
    <row r="21" spans="3:26">
      <c r="C21" s="200">
        <v>966.72799999999995</v>
      </c>
      <c r="D21" s="193">
        <v>477838.39499999996</v>
      </c>
      <c r="E21" s="195">
        <v>0.66439999999999999</v>
      </c>
      <c r="F21" s="196">
        <v>45866</v>
      </c>
      <c r="G21" s="56" t="s">
        <v>405</v>
      </c>
      <c r="H21" s="56">
        <v>16</v>
      </c>
      <c r="I21" s="204">
        <v>91.333333333333329</v>
      </c>
      <c r="K21" s="234">
        <v>7</v>
      </c>
      <c r="L21" s="201">
        <f>62.609*1000</f>
        <v>62609</v>
      </c>
      <c r="M21" s="257"/>
      <c r="O21" s="237" t="s">
        <v>665</v>
      </c>
      <c r="P21" s="237">
        <v>1048</v>
      </c>
      <c r="Q21" s="237">
        <v>66</v>
      </c>
      <c r="R21" s="251"/>
    </row>
    <row r="22" spans="3:26">
      <c r="C22" s="200">
        <v>975.74800000000005</v>
      </c>
      <c r="D22" s="193">
        <v>469014.14799999993</v>
      </c>
      <c r="E22" s="195">
        <v>0.64610000000000001</v>
      </c>
      <c r="F22" s="196">
        <v>45876</v>
      </c>
      <c r="G22" s="56" t="s">
        <v>409</v>
      </c>
      <c r="H22" s="56">
        <v>16</v>
      </c>
      <c r="I22" s="204">
        <v>92.333333333333329</v>
      </c>
      <c r="K22" s="234">
        <v>8</v>
      </c>
      <c r="L22" s="201">
        <f>55.937*1000</f>
        <v>55937</v>
      </c>
      <c r="M22" s="257"/>
      <c r="O22" s="237" t="s">
        <v>666</v>
      </c>
      <c r="P22" s="237">
        <v>1049</v>
      </c>
      <c r="Q22" s="237">
        <v>64</v>
      </c>
      <c r="R22" s="251"/>
      <c r="Z22" s="10"/>
    </row>
    <row r="23" spans="3:26">
      <c r="C23" s="200">
        <v>778.44100000000003</v>
      </c>
      <c r="D23" s="193">
        <v>389481.89299999998</v>
      </c>
      <c r="E23" s="195">
        <v>0.69489999999999996</v>
      </c>
      <c r="F23" s="196">
        <v>45903</v>
      </c>
      <c r="G23" s="56" t="s">
        <v>407</v>
      </c>
      <c r="H23" s="56">
        <v>18</v>
      </c>
      <c r="I23" s="204">
        <v>82</v>
      </c>
      <c r="K23" s="234">
        <v>9</v>
      </c>
      <c r="L23" s="201">
        <f>50.891*1000</f>
        <v>50891</v>
      </c>
      <c r="M23" s="257"/>
      <c r="O23" s="237" t="s">
        <v>667</v>
      </c>
      <c r="P23" s="237">
        <v>854</v>
      </c>
      <c r="Q23" s="237">
        <v>54</v>
      </c>
      <c r="R23" s="251"/>
      <c r="W23" s="4"/>
      <c r="X23" s="4"/>
      <c r="Z23" s="10"/>
    </row>
    <row r="24" spans="3:26">
      <c r="C24" s="200">
        <v>702.32600000000002</v>
      </c>
      <c r="D24" s="193">
        <v>383311.72800000012</v>
      </c>
      <c r="E24" s="195">
        <v>0.73360000000000003</v>
      </c>
      <c r="F24" s="196">
        <v>45933</v>
      </c>
      <c r="G24" s="56" t="s">
        <v>406</v>
      </c>
      <c r="H24" s="56">
        <v>17</v>
      </c>
      <c r="I24" s="204">
        <v>83</v>
      </c>
      <c r="K24" s="234">
        <v>10</v>
      </c>
      <c r="L24" s="201">
        <f>42.59*1000</f>
        <v>42590</v>
      </c>
      <c r="M24" s="257"/>
      <c r="O24" s="237" t="s">
        <v>668</v>
      </c>
      <c r="P24" s="237">
        <v>783</v>
      </c>
      <c r="Q24" s="237">
        <v>34</v>
      </c>
      <c r="R24" s="251"/>
    </row>
    <row r="25" spans="3:26">
      <c r="C25" s="200">
        <v>722.84199999999998</v>
      </c>
      <c r="D25" s="193">
        <v>391828.11799999996</v>
      </c>
      <c r="E25" s="195">
        <v>0.75290000000000001</v>
      </c>
      <c r="F25" s="196">
        <v>45991</v>
      </c>
      <c r="G25" s="56" t="s">
        <v>798</v>
      </c>
      <c r="H25" s="56">
        <v>18</v>
      </c>
      <c r="I25" s="204">
        <v>22</v>
      </c>
      <c r="K25" s="234">
        <v>11</v>
      </c>
      <c r="L25" s="201">
        <f>37.121*1000</f>
        <v>37121</v>
      </c>
      <c r="M25" s="257"/>
      <c r="O25" s="237" t="s">
        <v>669</v>
      </c>
      <c r="P25" s="237">
        <v>756</v>
      </c>
      <c r="Q25" s="237">
        <v>38</v>
      </c>
      <c r="R25" s="251"/>
    </row>
    <row r="26" spans="3:26" ht="15.75" thickBot="1">
      <c r="C26" s="202">
        <v>743.18</v>
      </c>
      <c r="D26" s="194">
        <v>424378.39500000002</v>
      </c>
      <c r="E26" s="197">
        <v>0.76749999999999996</v>
      </c>
      <c r="F26" s="198">
        <v>45995</v>
      </c>
      <c r="G26" s="199" t="s">
        <v>409</v>
      </c>
      <c r="H26" s="199">
        <v>10</v>
      </c>
      <c r="I26" s="205">
        <v>18.333333333333332</v>
      </c>
      <c r="K26" s="235">
        <v>12</v>
      </c>
      <c r="L26" s="203">
        <f>29.862*1000</f>
        <v>29862</v>
      </c>
      <c r="M26" s="257"/>
      <c r="O26" s="237" t="s">
        <v>670</v>
      </c>
      <c r="P26" s="237">
        <v>782</v>
      </c>
      <c r="Q26" s="237">
        <v>41</v>
      </c>
      <c r="R26" s="251"/>
    </row>
    <row r="27" spans="3:26">
      <c r="C27" t="s">
        <v>411</v>
      </c>
      <c r="K27" t="s">
        <v>672</v>
      </c>
      <c r="O27" s="236" t="s">
        <v>794</v>
      </c>
    </row>
    <row r="28" spans="3:26">
      <c r="C28" s="96" t="s">
        <v>412</v>
      </c>
    </row>
    <row r="33" customFormat="1"/>
  </sheetData>
  <mergeCells count="6">
    <mergeCell ref="R15:R26"/>
    <mergeCell ref="C8:I8"/>
    <mergeCell ref="D11:I11"/>
    <mergeCell ref="C7:I7"/>
    <mergeCell ref="K11:L11"/>
    <mergeCell ref="M15:M26"/>
  </mergeCells>
  <pageMargins left="0.7" right="0.7" top="0.75" bottom="0.75" header="0.3" footer="0.3"/>
  <pageSetup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5824D-23A3-4BDC-8E15-F6F58F203BE2}">
  <sheetPr>
    <tabColor rgb="FF0070C0"/>
  </sheetPr>
  <dimension ref="A1:T107"/>
  <sheetViews>
    <sheetView showGridLines="0" zoomScale="85" zoomScaleNormal="85" workbookViewId="0"/>
  </sheetViews>
  <sheetFormatPr defaultRowHeight="15"/>
  <cols>
    <col min="1" max="2" width="8.42578125" style="18" customWidth="1"/>
    <col min="3" max="3" width="17" style="18" bestFit="1" customWidth="1"/>
    <col min="4" max="4" width="32.140625" style="18" bestFit="1" customWidth="1"/>
    <col min="5" max="5" width="15.28515625" style="18" bestFit="1" customWidth="1"/>
    <col min="6" max="6" width="1.42578125" style="18" customWidth="1"/>
    <col min="7" max="7" width="15.28515625" style="18" customWidth="1"/>
    <col min="8" max="8" width="7.5703125" style="18" customWidth="1"/>
    <col min="9" max="9" width="7.85546875" style="18" customWidth="1"/>
    <col min="10" max="10" width="27.85546875" style="18" bestFit="1" customWidth="1"/>
    <col min="11" max="11" width="14.28515625" style="18" bestFit="1" customWidth="1"/>
    <col min="12" max="12" width="1.42578125" style="18" customWidth="1"/>
    <col min="13" max="13" width="14.28515625" style="18" customWidth="1"/>
    <col min="14" max="14" width="1.140625" style="18" customWidth="1"/>
    <col min="15" max="15" width="8.140625" style="18" bestFit="1" customWidth="1"/>
    <col min="16" max="16" width="1.28515625" style="18" customWidth="1"/>
    <col min="17" max="17" width="45.7109375" style="18" customWidth="1"/>
    <col min="18" max="18" width="14.28515625" style="18" bestFit="1" customWidth="1"/>
    <col min="19" max="19" width="1.42578125" style="18" customWidth="1"/>
    <col min="20" max="20" width="18.140625" style="18" customWidth="1"/>
    <col min="21" max="16384" width="9.140625" style="18"/>
  </cols>
  <sheetData>
    <row r="1" spans="1:20">
      <c r="A1" s="209" t="str">
        <f>TOC!A1</f>
        <v>Colorado Springs Utilities</v>
      </c>
    </row>
    <row r="2" spans="1:20">
      <c r="A2" s="209" t="str">
        <f>TOC!A2</f>
        <v>2027 Transmission Formula Rate (TFR) Backup</v>
      </c>
    </row>
    <row r="3" spans="1:20">
      <c r="A3" s="209"/>
    </row>
    <row r="4" spans="1:20">
      <c r="A4" s="209" t="s">
        <v>492</v>
      </c>
    </row>
    <row r="5" spans="1:20">
      <c r="A5" s="209" t="str">
        <f>UPPER(VLOOKUP(A$4,TOC!$A$7:$C$39,3,FALSE))</f>
        <v>ELECTRIC OPERATING EXPENSES BY ACCOUNT AND CLASSIFICATION OF SALARIES</v>
      </c>
    </row>
    <row r="6" spans="1:20">
      <c r="C6" s="259"/>
      <c r="D6" s="259"/>
      <c r="E6" s="259"/>
      <c r="F6" s="50"/>
      <c r="G6" s="50"/>
      <c r="J6" s="260"/>
      <c r="K6" s="260"/>
      <c r="L6" s="44"/>
      <c r="M6" s="44"/>
    </row>
    <row r="7" spans="1:20" ht="15.75" thickBot="1">
      <c r="C7" s="259"/>
      <c r="D7" s="259"/>
      <c r="E7" s="259"/>
      <c r="F7" s="50"/>
      <c r="G7" s="50"/>
      <c r="J7" s="260"/>
      <c r="K7" s="260"/>
      <c r="L7" s="44"/>
      <c r="M7" s="44"/>
    </row>
    <row r="8" spans="1:20" ht="15.75" thickBot="1">
      <c r="C8" s="44"/>
      <c r="D8" s="261" t="s">
        <v>382</v>
      </c>
      <c r="E8" s="262"/>
      <c r="F8" s="262"/>
      <c r="G8" s="263"/>
      <c r="J8" s="261" t="s">
        <v>382</v>
      </c>
      <c r="K8" s="262"/>
      <c r="L8" s="262"/>
      <c r="M8" s="263"/>
    </row>
    <row r="9" spans="1:20" ht="13.5" customHeight="1">
      <c r="C9" s="264" t="s">
        <v>380</v>
      </c>
      <c r="D9" s="264"/>
      <c r="E9" s="264"/>
      <c r="F9" s="264"/>
      <c r="G9" s="264"/>
      <c r="J9" s="265" t="s">
        <v>381</v>
      </c>
      <c r="K9" s="265"/>
      <c r="L9" s="265"/>
      <c r="M9" s="265"/>
      <c r="O9" s="258" t="s">
        <v>608</v>
      </c>
      <c r="P9" s="258"/>
      <c r="Q9" s="258"/>
      <c r="R9" s="258"/>
    </row>
    <row r="10" spans="1:20" ht="13.5" customHeight="1">
      <c r="C10" s="44"/>
      <c r="D10" s="44"/>
      <c r="E10" s="112" t="s">
        <v>748</v>
      </c>
      <c r="F10" s="112"/>
      <c r="G10" s="112" t="s">
        <v>747</v>
      </c>
      <c r="J10" s="45"/>
      <c r="K10" s="112" t="s">
        <v>748</v>
      </c>
      <c r="L10" s="112"/>
      <c r="M10" s="112" t="s">
        <v>747</v>
      </c>
      <c r="P10" s="211" t="s">
        <v>326</v>
      </c>
      <c r="Q10" s="210"/>
      <c r="R10" s="210"/>
      <c r="S10" s="212"/>
      <c r="T10" s="210"/>
    </row>
    <row r="11" spans="1:20" ht="13.5" customHeight="1" thickBot="1">
      <c r="B11" s="18" t="s">
        <v>70</v>
      </c>
      <c r="C11" s="52" t="s">
        <v>64</v>
      </c>
      <c r="D11" s="46" t="s">
        <v>63</v>
      </c>
      <c r="E11" s="47" t="s">
        <v>745</v>
      </c>
      <c r="F11" s="47"/>
      <c r="G11" s="47" t="s">
        <v>743</v>
      </c>
      <c r="J11" s="46" t="s">
        <v>71</v>
      </c>
      <c r="K11" s="47" t="s">
        <v>745</v>
      </c>
      <c r="L11" s="47"/>
      <c r="M11" s="47" t="s">
        <v>743</v>
      </c>
      <c r="P11" s="213" t="s">
        <v>327</v>
      </c>
      <c r="Q11" s="210"/>
      <c r="R11" s="210" t="s">
        <v>746</v>
      </c>
      <c r="S11" s="212"/>
      <c r="T11" s="210" t="s">
        <v>744</v>
      </c>
    </row>
    <row r="12" spans="1:20" ht="13.5" customHeight="1">
      <c r="A12" s="18">
        <f>VALUE(LEFT(D12,4))</f>
        <v>5600</v>
      </c>
      <c r="B12" s="18">
        <f>VALUE(LEFT(D12,6))</f>
        <v>560000</v>
      </c>
      <c r="C12" t="s">
        <v>40</v>
      </c>
      <c r="D12" s="38" t="s">
        <v>32</v>
      </c>
      <c r="E12" s="54">
        <v>10268650.790000001</v>
      </c>
      <c r="F12" s="54"/>
      <c r="G12" s="39">
        <v>5509720</v>
      </c>
      <c r="H12" s="18">
        <f>VALUE(LEFT(J12,4))</f>
        <v>5600</v>
      </c>
      <c r="I12" s="18">
        <f>VALUE(LEFT(J12,6))</f>
        <v>560000</v>
      </c>
      <c r="J12" s="38" t="s">
        <v>32</v>
      </c>
      <c r="K12" s="54">
        <v>4217458.43</v>
      </c>
      <c r="L12" s="54"/>
      <c r="M12" s="39">
        <v>4979296</v>
      </c>
      <c r="O12" s="18">
        <v>500000</v>
      </c>
      <c r="P12" s="220" t="s">
        <v>328</v>
      </c>
      <c r="Q12" s="210"/>
      <c r="R12" s="214">
        <f>IFERROR(VLOOKUP($O12,$I$12:$M$73,3,FALSE),"")</f>
        <v>2626443.63</v>
      </c>
      <c r="S12" s="212"/>
      <c r="T12" s="214">
        <f t="shared" ref="T12:T43" si="0">IFERROR(VLOOKUP($O12,$I$12:$M$73,5,FALSE),"")</f>
        <v>2448001</v>
      </c>
    </row>
    <row r="13" spans="1:20" ht="13.5" customHeight="1">
      <c r="A13" s="18">
        <f t="shared" ref="A13:A81" si="1">VALUE(LEFT(D13,4))</f>
        <v>5610</v>
      </c>
      <c r="B13" s="18">
        <f t="shared" ref="B13:B84" si="2">VALUE(LEFT(D13,6))</f>
        <v>561000</v>
      </c>
      <c r="C13" t="s">
        <v>40</v>
      </c>
      <c r="D13" s="40" t="s">
        <v>31</v>
      </c>
      <c r="E13" s="53">
        <v>0</v>
      </c>
      <c r="F13" s="53"/>
      <c r="G13" s="41">
        <v>519054</v>
      </c>
      <c r="H13" s="18">
        <f t="shared" ref="H13:H69" si="3">VALUE(LEFT(J13,4))</f>
        <v>5610</v>
      </c>
      <c r="I13" s="18">
        <f t="shared" ref="I13:I69" si="4">VALUE(LEFT(J13,6))</f>
        <v>561000</v>
      </c>
      <c r="J13" s="40" t="s">
        <v>31</v>
      </c>
      <c r="K13" s="53">
        <v>0</v>
      </c>
      <c r="L13" s="53"/>
      <c r="M13" s="41">
        <v>267468</v>
      </c>
      <c r="O13" s="18">
        <v>501000</v>
      </c>
      <c r="P13" s="220" t="s">
        <v>323</v>
      </c>
      <c r="Q13" s="210"/>
      <c r="R13" s="215" t="str">
        <f t="shared" ref="R13:R76" si="5">IFERROR(VLOOKUP($O13,$I$12:$M$73,3,FALSE),"")</f>
        <v/>
      </c>
      <c r="S13" s="212"/>
      <c r="T13" s="215" t="str">
        <f t="shared" si="0"/>
        <v/>
      </c>
    </row>
    <row r="14" spans="1:20" ht="13.5" customHeight="1" thickBot="1">
      <c r="A14" s="18">
        <v>5611</v>
      </c>
      <c r="B14" s="18">
        <v>561100</v>
      </c>
      <c r="C14" t="s">
        <v>40</v>
      </c>
      <c r="D14" s="40" t="s">
        <v>809</v>
      </c>
      <c r="E14" s="53">
        <v>812730.09</v>
      </c>
      <c r="F14" s="53"/>
      <c r="G14" s="41">
        <v>0</v>
      </c>
      <c r="H14" s="18">
        <v>5611</v>
      </c>
      <c r="I14" s="18">
        <v>561100</v>
      </c>
      <c r="J14" s="42" t="s">
        <v>809</v>
      </c>
      <c r="K14" s="55">
        <v>228815.64999999997</v>
      </c>
      <c r="L14" s="55"/>
      <c r="M14" s="43">
        <v>0</v>
      </c>
      <c r="O14" s="18">
        <v>502000</v>
      </c>
      <c r="P14" s="220" t="s">
        <v>329</v>
      </c>
      <c r="Q14" s="210"/>
      <c r="R14" s="215">
        <f t="shared" si="5"/>
        <v>0</v>
      </c>
      <c r="S14" s="212"/>
      <c r="T14" s="215">
        <f t="shared" si="0"/>
        <v>853980</v>
      </c>
    </row>
    <row r="15" spans="1:20" ht="13.5" customHeight="1">
      <c r="A15" s="18">
        <f t="shared" si="1"/>
        <v>5630</v>
      </c>
      <c r="B15" s="18">
        <f t="shared" si="2"/>
        <v>563000</v>
      </c>
      <c r="C15" t="s">
        <v>40</v>
      </c>
      <c r="D15" s="40" t="s">
        <v>62</v>
      </c>
      <c r="E15" s="53">
        <v>13690.78</v>
      </c>
      <c r="F15" s="53"/>
      <c r="G15" s="41">
        <v>19500</v>
      </c>
      <c r="H15" s="18">
        <f t="shared" si="3"/>
        <v>5800</v>
      </c>
      <c r="I15" s="18">
        <f t="shared" si="4"/>
        <v>580000</v>
      </c>
      <c r="J15" t="s">
        <v>29</v>
      </c>
      <c r="K15" s="86">
        <v>3614918.08</v>
      </c>
      <c r="L15" s="86"/>
      <c r="M15" s="86">
        <v>3963190</v>
      </c>
      <c r="O15" s="18">
        <v>505000</v>
      </c>
      <c r="P15" s="220" t="s">
        <v>324</v>
      </c>
      <c r="Q15" s="210"/>
      <c r="R15" s="215">
        <f t="shared" si="5"/>
        <v>200767.53</v>
      </c>
      <c r="S15" s="212"/>
      <c r="T15" s="215">
        <f t="shared" si="0"/>
        <v>340382</v>
      </c>
    </row>
    <row r="16" spans="1:20" ht="13.5" customHeight="1" thickBot="1">
      <c r="A16" s="18">
        <f t="shared" si="1"/>
        <v>5660</v>
      </c>
      <c r="B16" s="18">
        <f t="shared" si="2"/>
        <v>566000</v>
      </c>
      <c r="C16" t="s">
        <v>40</v>
      </c>
      <c r="D16" s="42" t="s">
        <v>30</v>
      </c>
      <c r="E16" s="55">
        <v>49238.81</v>
      </c>
      <c r="F16" s="55"/>
      <c r="G16" s="43">
        <v>96192</v>
      </c>
      <c r="H16" s="18">
        <f t="shared" si="3"/>
        <v>5810</v>
      </c>
      <c r="I16" s="18">
        <f t="shared" si="4"/>
        <v>581000</v>
      </c>
      <c r="J16" t="s">
        <v>28</v>
      </c>
      <c r="K16" s="86">
        <v>1807251.07</v>
      </c>
      <c r="L16" s="48"/>
      <c r="M16" s="86">
        <v>2052178</v>
      </c>
      <c r="O16" s="18">
        <v>506000</v>
      </c>
      <c r="P16" s="220" t="s">
        <v>330</v>
      </c>
      <c r="Q16" s="210"/>
      <c r="R16" s="215">
        <f t="shared" si="5"/>
        <v>6281241.9799999995</v>
      </c>
      <c r="S16" s="212"/>
      <c r="T16" s="215">
        <f t="shared" si="0"/>
        <v>7783632</v>
      </c>
    </row>
    <row r="17" spans="1:20" ht="13.5" customHeight="1">
      <c r="A17" s="18">
        <f t="shared" si="1"/>
        <v>5800</v>
      </c>
      <c r="B17" s="18">
        <f t="shared" si="2"/>
        <v>580000</v>
      </c>
      <c r="C17" t="s">
        <v>40</v>
      </c>
      <c r="D17" t="s">
        <v>29</v>
      </c>
      <c r="E17" s="86">
        <v>5175433.4200000009</v>
      </c>
      <c r="F17" s="48"/>
      <c r="G17" s="86">
        <v>4326927</v>
      </c>
      <c r="H17" s="18">
        <f t="shared" si="3"/>
        <v>5820</v>
      </c>
      <c r="I17" s="18">
        <f t="shared" si="4"/>
        <v>582000</v>
      </c>
      <c r="J17" t="s">
        <v>61</v>
      </c>
      <c r="K17" s="86">
        <v>752.67</v>
      </c>
      <c r="L17" s="48"/>
      <c r="M17" s="86">
        <v>0</v>
      </c>
      <c r="O17" s="18">
        <v>508000</v>
      </c>
      <c r="P17" s="220" t="s">
        <v>331</v>
      </c>
      <c r="Q17" s="210"/>
      <c r="R17" s="215">
        <f t="shared" si="5"/>
        <v>73.73</v>
      </c>
      <c r="S17" s="212"/>
      <c r="T17" s="215">
        <f t="shared" si="0"/>
        <v>0</v>
      </c>
    </row>
    <row r="18" spans="1:20" ht="13.5" customHeight="1">
      <c r="A18" s="18">
        <f t="shared" si="1"/>
        <v>5810</v>
      </c>
      <c r="B18" s="18">
        <f t="shared" si="2"/>
        <v>581000</v>
      </c>
      <c r="C18" t="s">
        <v>40</v>
      </c>
      <c r="D18" t="s">
        <v>28</v>
      </c>
      <c r="E18" s="86">
        <v>1813947.4600000002</v>
      </c>
      <c r="F18" s="48"/>
      <c r="G18" s="86">
        <v>2574928</v>
      </c>
      <c r="H18" s="18">
        <f t="shared" si="3"/>
        <v>5830</v>
      </c>
      <c r="I18" s="18">
        <f t="shared" si="4"/>
        <v>583000</v>
      </c>
      <c r="J18" t="s">
        <v>27</v>
      </c>
      <c r="K18" s="86">
        <v>45990.400000000001</v>
      </c>
      <c r="L18" s="48"/>
      <c r="M18" s="86">
        <v>96299</v>
      </c>
      <c r="P18" s="213" t="s">
        <v>332</v>
      </c>
      <c r="Q18" s="210"/>
      <c r="R18" s="215" t="str">
        <f t="shared" si="5"/>
        <v/>
      </c>
      <c r="S18" s="212"/>
      <c r="T18" s="215" t="str">
        <f t="shared" si="0"/>
        <v/>
      </c>
    </row>
    <row r="19" spans="1:20" ht="13.5" customHeight="1">
      <c r="A19" s="18">
        <f t="shared" si="1"/>
        <v>5820</v>
      </c>
      <c r="B19" s="18">
        <f t="shared" si="2"/>
        <v>582000</v>
      </c>
      <c r="C19" t="s">
        <v>40</v>
      </c>
      <c r="D19" t="s">
        <v>61</v>
      </c>
      <c r="E19" s="86">
        <v>98686.760000000009</v>
      </c>
      <c r="F19" s="48"/>
      <c r="G19" s="86">
        <v>314428</v>
      </c>
      <c r="H19" s="18">
        <f t="shared" si="3"/>
        <v>5840</v>
      </c>
      <c r="I19" s="18">
        <f t="shared" si="4"/>
        <v>584000</v>
      </c>
      <c r="J19" t="s">
        <v>26</v>
      </c>
      <c r="K19" s="86">
        <v>1405278.33</v>
      </c>
      <c r="L19" s="48"/>
      <c r="M19" s="86">
        <v>1524017</v>
      </c>
      <c r="O19" s="18">
        <v>510000</v>
      </c>
      <c r="P19" s="220" t="s">
        <v>328</v>
      </c>
      <c r="Q19" s="210"/>
      <c r="R19" s="215">
        <f t="shared" si="5"/>
        <v>271847.67999999999</v>
      </c>
      <c r="S19" s="212"/>
      <c r="T19" s="215">
        <f t="shared" si="0"/>
        <v>225781</v>
      </c>
    </row>
    <row r="20" spans="1:20" ht="13.5" customHeight="1">
      <c r="A20" s="18">
        <f t="shared" si="1"/>
        <v>5830</v>
      </c>
      <c r="B20" s="18">
        <f t="shared" si="2"/>
        <v>583000</v>
      </c>
      <c r="C20" t="s">
        <v>40</v>
      </c>
      <c r="D20" t="s">
        <v>27</v>
      </c>
      <c r="E20" s="86">
        <v>132647.17000000001</v>
      </c>
      <c r="F20" s="48"/>
      <c r="G20" s="86">
        <v>368259</v>
      </c>
      <c r="H20" s="18">
        <f t="shared" si="3"/>
        <v>5850</v>
      </c>
      <c r="I20" s="18">
        <f t="shared" si="4"/>
        <v>585000</v>
      </c>
      <c r="J20" t="s">
        <v>376</v>
      </c>
      <c r="K20" s="86">
        <v>19121.36</v>
      </c>
      <c r="L20" s="48"/>
      <c r="M20" s="86">
        <v>1907</v>
      </c>
      <c r="O20" s="18">
        <v>511000</v>
      </c>
      <c r="P20" s="220" t="s">
        <v>333</v>
      </c>
      <c r="Q20" s="210"/>
      <c r="R20" s="215">
        <f t="shared" si="5"/>
        <v>145470.6</v>
      </c>
      <c r="S20" s="212"/>
      <c r="T20" s="215">
        <f t="shared" si="0"/>
        <v>194884</v>
      </c>
    </row>
    <row r="21" spans="1:20" ht="13.5" customHeight="1">
      <c r="A21" s="18">
        <f t="shared" si="1"/>
        <v>5840</v>
      </c>
      <c r="B21" s="18">
        <f t="shared" si="2"/>
        <v>584000</v>
      </c>
      <c r="C21" t="s">
        <v>40</v>
      </c>
      <c r="D21" t="s">
        <v>26</v>
      </c>
      <c r="E21" s="86">
        <v>2528580.9999999995</v>
      </c>
      <c r="F21" s="48"/>
      <c r="G21" s="86">
        <v>2694127</v>
      </c>
      <c r="H21" s="18">
        <f t="shared" si="3"/>
        <v>5860</v>
      </c>
      <c r="I21" s="18">
        <f t="shared" si="4"/>
        <v>586000</v>
      </c>
      <c r="J21" t="s">
        <v>25</v>
      </c>
      <c r="K21" s="86">
        <v>453639.81</v>
      </c>
      <c r="L21" s="48"/>
      <c r="M21" s="86">
        <v>557332</v>
      </c>
      <c r="O21" s="18">
        <v>512000</v>
      </c>
      <c r="P21" s="220" t="s">
        <v>334</v>
      </c>
      <c r="Q21" s="210"/>
      <c r="R21" s="215">
        <f t="shared" si="5"/>
        <v>3619031.9099999997</v>
      </c>
      <c r="S21" s="212"/>
      <c r="T21" s="215">
        <f t="shared" si="0"/>
        <v>3945854</v>
      </c>
    </row>
    <row r="22" spans="1:20" ht="13.5" customHeight="1">
      <c r="A22" s="18">
        <f t="shared" si="1"/>
        <v>5850</v>
      </c>
      <c r="B22" s="18">
        <f t="shared" si="2"/>
        <v>585000</v>
      </c>
      <c r="C22" t="s">
        <v>40</v>
      </c>
      <c r="D22" t="s">
        <v>376</v>
      </c>
      <c r="E22" s="86">
        <v>2077800.32</v>
      </c>
      <c r="F22" s="48"/>
      <c r="G22" s="86">
        <v>1907</v>
      </c>
      <c r="H22" s="18">
        <f t="shared" si="3"/>
        <v>5880</v>
      </c>
      <c r="I22" s="18">
        <f t="shared" si="4"/>
        <v>588000</v>
      </c>
      <c r="J22" t="s">
        <v>24</v>
      </c>
      <c r="K22" s="86">
        <v>6503437.9400000004</v>
      </c>
      <c r="L22" s="48"/>
      <c r="M22" s="86">
        <v>7772931</v>
      </c>
      <c r="O22" s="18">
        <v>513000</v>
      </c>
      <c r="P22" s="220" t="s">
        <v>335</v>
      </c>
      <c r="Q22" s="210"/>
      <c r="R22" s="215">
        <f t="shared" si="5"/>
        <v>1622826.48</v>
      </c>
      <c r="S22" s="212"/>
      <c r="T22" s="215">
        <f t="shared" si="0"/>
        <v>1209930</v>
      </c>
    </row>
    <row r="23" spans="1:20" ht="13.5" customHeight="1">
      <c r="A23" s="18">
        <f t="shared" si="1"/>
        <v>5860</v>
      </c>
      <c r="B23" s="18">
        <f t="shared" si="2"/>
        <v>586000</v>
      </c>
      <c r="C23" t="s">
        <v>40</v>
      </c>
      <c r="D23" t="s">
        <v>25</v>
      </c>
      <c r="E23" s="86">
        <v>455830.29</v>
      </c>
      <c r="F23" s="48"/>
      <c r="G23" s="86">
        <v>557332</v>
      </c>
      <c r="H23" s="18">
        <f t="shared" si="3"/>
        <v>5100</v>
      </c>
      <c r="I23" s="18">
        <f t="shared" si="4"/>
        <v>510000</v>
      </c>
      <c r="J23" t="s">
        <v>23</v>
      </c>
      <c r="K23" s="86">
        <v>271847.67999999999</v>
      </c>
      <c r="L23" s="48"/>
      <c r="M23" s="86">
        <v>225781</v>
      </c>
      <c r="O23" s="18">
        <v>514000</v>
      </c>
      <c r="P23" s="220" t="s">
        <v>336</v>
      </c>
      <c r="Q23" s="210"/>
      <c r="R23" s="215">
        <f t="shared" si="5"/>
        <v>267042.82000000007</v>
      </c>
      <c r="S23" s="212"/>
      <c r="T23" s="215">
        <f t="shared" si="0"/>
        <v>194402</v>
      </c>
    </row>
    <row r="24" spans="1:20" ht="13.5" customHeight="1">
      <c r="A24" s="18">
        <f t="shared" si="1"/>
        <v>5880</v>
      </c>
      <c r="B24" s="18">
        <f t="shared" si="2"/>
        <v>588000</v>
      </c>
      <c r="C24" t="s">
        <v>40</v>
      </c>
      <c r="D24" t="s">
        <v>24</v>
      </c>
      <c r="E24" s="86">
        <v>10879075.039999999</v>
      </c>
      <c r="F24" s="48"/>
      <c r="G24" s="86">
        <v>12196486</v>
      </c>
      <c r="H24" s="18">
        <f t="shared" si="3"/>
        <v>5110</v>
      </c>
      <c r="I24" s="18">
        <f t="shared" si="4"/>
        <v>511000</v>
      </c>
      <c r="J24" t="s">
        <v>22</v>
      </c>
      <c r="K24" s="86">
        <v>145470.6</v>
      </c>
      <c r="L24" s="48"/>
      <c r="M24" s="86">
        <v>194884</v>
      </c>
      <c r="P24" s="211" t="s">
        <v>337</v>
      </c>
      <c r="Q24" s="210"/>
      <c r="R24" s="215" t="str">
        <f t="shared" si="5"/>
        <v/>
      </c>
      <c r="S24" s="212"/>
      <c r="T24" s="215" t="str">
        <f t="shared" si="0"/>
        <v/>
      </c>
    </row>
    <row r="25" spans="1:20" ht="13.5" customHeight="1">
      <c r="A25" s="18">
        <f t="shared" si="1"/>
        <v>5100</v>
      </c>
      <c r="B25" s="18">
        <f t="shared" si="2"/>
        <v>510000</v>
      </c>
      <c r="C25" t="s">
        <v>40</v>
      </c>
      <c r="D25" t="s">
        <v>23</v>
      </c>
      <c r="E25" s="86">
        <v>884049.44000000006</v>
      </c>
      <c r="F25" s="48"/>
      <c r="G25" s="86">
        <v>239841</v>
      </c>
      <c r="H25" s="18">
        <f t="shared" si="3"/>
        <v>5120</v>
      </c>
      <c r="I25" s="18">
        <f t="shared" si="4"/>
        <v>512000</v>
      </c>
      <c r="J25" t="s">
        <v>21</v>
      </c>
      <c r="K25" s="86">
        <v>3619031.9099999997</v>
      </c>
      <c r="L25" s="48"/>
      <c r="M25" s="86">
        <v>3945854</v>
      </c>
      <c r="P25" s="213" t="s">
        <v>327</v>
      </c>
      <c r="Q25" s="210"/>
      <c r="R25" s="215" t="str">
        <f t="shared" si="5"/>
        <v/>
      </c>
      <c r="S25" s="212"/>
      <c r="T25" s="215" t="str">
        <f t="shared" si="0"/>
        <v/>
      </c>
    </row>
    <row r="26" spans="1:20" ht="13.5" customHeight="1">
      <c r="A26" s="18">
        <f t="shared" si="1"/>
        <v>5110</v>
      </c>
      <c r="B26" s="18">
        <f t="shared" si="2"/>
        <v>511000</v>
      </c>
      <c r="C26" t="s">
        <v>40</v>
      </c>
      <c r="D26" t="s">
        <v>22</v>
      </c>
      <c r="E26" s="86">
        <v>717792.80999999994</v>
      </c>
      <c r="F26" s="48"/>
      <c r="G26" s="86">
        <v>1128515</v>
      </c>
      <c r="H26" s="18">
        <f t="shared" si="3"/>
        <v>5130</v>
      </c>
      <c r="I26" s="18">
        <f t="shared" si="4"/>
        <v>513000</v>
      </c>
      <c r="J26" t="s">
        <v>20</v>
      </c>
      <c r="K26" s="86">
        <v>1622826.48</v>
      </c>
      <c r="L26" s="48"/>
      <c r="M26" s="86">
        <v>1209930</v>
      </c>
      <c r="O26" s="18">
        <v>535000</v>
      </c>
      <c r="P26" s="220" t="s">
        <v>328</v>
      </c>
      <c r="Q26" s="210"/>
      <c r="R26" s="215" t="str">
        <f t="shared" si="5"/>
        <v/>
      </c>
      <c r="S26" s="212"/>
      <c r="T26" s="215" t="str">
        <f t="shared" si="0"/>
        <v/>
      </c>
    </row>
    <row r="27" spans="1:20" ht="13.5" customHeight="1">
      <c r="A27" s="18">
        <f t="shared" si="1"/>
        <v>5120</v>
      </c>
      <c r="B27" s="18">
        <f t="shared" si="2"/>
        <v>512000</v>
      </c>
      <c r="C27" t="s">
        <v>40</v>
      </c>
      <c r="D27" t="s">
        <v>21</v>
      </c>
      <c r="E27" s="86">
        <v>12508709.329999998</v>
      </c>
      <c r="F27" s="48"/>
      <c r="G27" s="86">
        <v>8097109</v>
      </c>
      <c r="H27" s="18">
        <f t="shared" si="3"/>
        <v>5140</v>
      </c>
      <c r="I27" s="18">
        <f t="shared" si="4"/>
        <v>514000</v>
      </c>
      <c r="J27" t="s">
        <v>19</v>
      </c>
      <c r="K27" s="86">
        <v>267042.82000000007</v>
      </c>
      <c r="L27" s="48"/>
      <c r="M27" s="86">
        <v>194402</v>
      </c>
      <c r="O27" s="18">
        <v>537000</v>
      </c>
      <c r="P27" s="220" t="s">
        <v>338</v>
      </c>
      <c r="Q27" s="210"/>
      <c r="R27" s="215" t="str">
        <f t="shared" si="5"/>
        <v/>
      </c>
      <c r="S27" s="212"/>
      <c r="T27" s="215" t="str">
        <f t="shared" si="0"/>
        <v/>
      </c>
    </row>
    <row r="28" spans="1:20" ht="13.5" customHeight="1">
      <c r="A28" s="18">
        <f t="shared" si="1"/>
        <v>5130</v>
      </c>
      <c r="B28" s="18">
        <f t="shared" si="2"/>
        <v>513000</v>
      </c>
      <c r="C28" t="s">
        <v>40</v>
      </c>
      <c r="D28" t="s">
        <v>20</v>
      </c>
      <c r="E28" s="86">
        <v>3043661.2000000007</v>
      </c>
      <c r="F28" s="48"/>
      <c r="G28" s="86">
        <v>2309220</v>
      </c>
      <c r="H28" s="18">
        <f t="shared" si="3"/>
        <v>5420</v>
      </c>
      <c r="I28" s="18">
        <f t="shared" si="4"/>
        <v>542000</v>
      </c>
      <c r="J28" t="s">
        <v>18</v>
      </c>
      <c r="K28" s="86">
        <v>87254.02</v>
      </c>
      <c r="L28" s="48"/>
      <c r="M28" s="86">
        <v>71394</v>
      </c>
      <c r="O28" s="18">
        <v>538000</v>
      </c>
      <c r="P28" s="220" t="s">
        <v>324</v>
      </c>
      <c r="Q28"/>
      <c r="R28" s="215">
        <f t="shared" si="5"/>
        <v>16694.239999999998</v>
      </c>
      <c r="S28" s="212"/>
      <c r="T28" s="215">
        <f t="shared" si="0"/>
        <v>2804</v>
      </c>
    </row>
    <row r="29" spans="1:20" ht="13.5" customHeight="1">
      <c r="A29" s="18">
        <f t="shared" si="1"/>
        <v>5140</v>
      </c>
      <c r="B29" s="18">
        <f t="shared" si="2"/>
        <v>514000</v>
      </c>
      <c r="C29" t="s">
        <v>40</v>
      </c>
      <c r="D29" t="s">
        <v>19</v>
      </c>
      <c r="E29" s="86">
        <v>2190863.7900000005</v>
      </c>
      <c r="F29" s="48"/>
      <c r="G29" s="86">
        <v>1146927</v>
      </c>
      <c r="H29" s="18">
        <f t="shared" si="3"/>
        <v>5440</v>
      </c>
      <c r="I29" s="18">
        <f t="shared" si="4"/>
        <v>544000</v>
      </c>
      <c r="J29" t="s">
        <v>17</v>
      </c>
      <c r="K29" s="86">
        <v>327619.72000000003</v>
      </c>
      <c r="L29" s="48"/>
      <c r="M29" s="86">
        <v>232256</v>
      </c>
      <c r="O29" s="18">
        <v>539000</v>
      </c>
      <c r="P29" s="220" t="s">
        <v>339</v>
      </c>
      <c r="Q29" s="210"/>
      <c r="R29" s="215" t="str">
        <f t="shared" si="5"/>
        <v/>
      </c>
      <c r="S29" s="212"/>
      <c r="T29" s="215" t="str">
        <f t="shared" si="0"/>
        <v/>
      </c>
    </row>
    <row r="30" spans="1:20" ht="13.5" customHeight="1">
      <c r="A30" s="18">
        <f t="shared" si="1"/>
        <v>5410</v>
      </c>
      <c r="B30" s="18">
        <f t="shared" si="2"/>
        <v>541000</v>
      </c>
      <c r="C30" t="s">
        <v>40</v>
      </c>
      <c r="D30" t="s">
        <v>741</v>
      </c>
      <c r="E30" s="86">
        <v>51.98</v>
      </c>
      <c r="F30" s="48"/>
      <c r="G30" s="86">
        <v>0</v>
      </c>
      <c r="H30" s="18">
        <f t="shared" si="3"/>
        <v>5450</v>
      </c>
      <c r="I30" s="18">
        <f t="shared" si="4"/>
        <v>545000</v>
      </c>
      <c r="J30" t="s">
        <v>16</v>
      </c>
      <c r="K30" s="86">
        <v>24404.590000000004</v>
      </c>
      <c r="L30" s="48"/>
      <c r="M30" s="86">
        <v>11633</v>
      </c>
      <c r="P30" s="213" t="s">
        <v>332</v>
      </c>
      <c r="Q30" s="210"/>
      <c r="R30" s="215" t="str">
        <f t="shared" si="5"/>
        <v/>
      </c>
      <c r="S30" s="212"/>
      <c r="T30" s="215" t="str">
        <f t="shared" si="0"/>
        <v/>
      </c>
    </row>
    <row r="31" spans="1:20" ht="13.5" customHeight="1">
      <c r="A31" s="18">
        <f t="shared" si="1"/>
        <v>5420</v>
      </c>
      <c r="B31" s="18">
        <f t="shared" si="2"/>
        <v>542000</v>
      </c>
      <c r="C31" t="s">
        <v>40</v>
      </c>
      <c r="D31" t="s">
        <v>18</v>
      </c>
      <c r="E31" s="86">
        <v>606327.38999999978</v>
      </c>
      <c r="F31" s="48"/>
      <c r="G31" s="86">
        <v>204535</v>
      </c>
      <c r="H31" s="18">
        <f t="shared" si="3"/>
        <v>5510</v>
      </c>
      <c r="I31" s="18">
        <f t="shared" si="4"/>
        <v>551000</v>
      </c>
      <c r="J31" t="s">
        <v>15</v>
      </c>
      <c r="K31" s="86">
        <v>1057514.73</v>
      </c>
      <c r="L31" s="48"/>
      <c r="M31" s="86">
        <v>1080518</v>
      </c>
      <c r="O31" s="18">
        <v>541000</v>
      </c>
      <c r="P31" s="220" t="s">
        <v>328</v>
      </c>
      <c r="Q31" s="210"/>
      <c r="R31" s="215" t="str">
        <f t="shared" si="5"/>
        <v/>
      </c>
      <c r="S31" s="212"/>
      <c r="T31" s="215" t="str">
        <f t="shared" si="0"/>
        <v/>
      </c>
    </row>
    <row r="32" spans="1:20" ht="13.5" customHeight="1">
      <c r="A32" s="18">
        <f t="shared" si="1"/>
        <v>5440</v>
      </c>
      <c r="B32" s="18">
        <f t="shared" si="2"/>
        <v>544000</v>
      </c>
      <c r="C32" t="s">
        <v>40</v>
      </c>
      <c r="D32" t="s">
        <v>17</v>
      </c>
      <c r="E32" s="86">
        <v>849103.72000000009</v>
      </c>
      <c r="F32" s="48"/>
      <c r="G32" s="86">
        <v>306256</v>
      </c>
      <c r="H32" s="18">
        <f t="shared" si="3"/>
        <v>5520</v>
      </c>
      <c r="I32" s="18">
        <f t="shared" si="4"/>
        <v>552000</v>
      </c>
      <c r="J32" t="s">
        <v>14</v>
      </c>
      <c r="K32" s="86">
        <v>159389.05000000002</v>
      </c>
      <c r="L32" s="48"/>
      <c r="M32" s="86">
        <v>91563</v>
      </c>
      <c r="O32" s="18">
        <v>542000</v>
      </c>
      <c r="P32" s="220" t="s">
        <v>333</v>
      </c>
      <c r="Q32" s="210"/>
      <c r="R32" s="215">
        <f t="shared" si="5"/>
        <v>87254.02</v>
      </c>
      <c r="S32" s="212"/>
      <c r="T32" s="215">
        <f t="shared" si="0"/>
        <v>71394</v>
      </c>
    </row>
    <row r="33" spans="1:20" ht="13.5" customHeight="1">
      <c r="A33" s="18">
        <f t="shared" si="1"/>
        <v>5450</v>
      </c>
      <c r="B33" s="18">
        <f t="shared" si="2"/>
        <v>545000</v>
      </c>
      <c r="C33" t="s">
        <v>40</v>
      </c>
      <c r="D33" t="s">
        <v>16</v>
      </c>
      <c r="E33" s="86">
        <v>83217.7</v>
      </c>
      <c r="F33" s="48"/>
      <c r="G33" s="86">
        <v>34783</v>
      </c>
      <c r="H33" s="18">
        <f t="shared" si="3"/>
        <v>5530</v>
      </c>
      <c r="I33" s="18">
        <f t="shared" si="4"/>
        <v>553000</v>
      </c>
      <c r="J33" t="s">
        <v>13</v>
      </c>
      <c r="K33" s="86">
        <v>2075227.0899999999</v>
      </c>
      <c r="L33" s="48"/>
      <c r="M33" s="86">
        <v>1794917</v>
      </c>
      <c r="O33" s="18">
        <v>543000</v>
      </c>
      <c r="P33" s="220" t="s">
        <v>340</v>
      </c>
      <c r="Q33" s="210"/>
      <c r="R33" s="215" t="str">
        <f t="shared" si="5"/>
        <v/>
      </c>
      <c r="S33" s="212"/>
      <c r="T33" s="215" t="str">
        <f t="shared" si="0"/>
        <v/>
      </c>
    </row>
    <row r="34" spans="1:20" ht="13.5" customHeight="1" thickBot="1">
      <c r="A34" s="18">
        <f t="shared" si="1"/>
        <v>5510</v>
      </c>
      <c r="B34" s="18">
        <f t="shared" si="2"/>
        <v>551000</v>
      </c>
      <c r="C34" t="s">
        <v>40</v>
      </c>
      <c r="D34" t="s">
        <v>15</v>
      </c>
      <c r="E34" s="86">
        <v>1096198.73</v>
      </c>
      <c r="F34" s="48"/>
      <c r="G34" s="86">
        <v>1256508</v>
      </c>
      <c r="H34" s="18">
        <f t="shared" si="3"/>
        <v>5540</v>
      </c>
      <c r="I34" s="18">
        <f t="shared" si="4"/>
        <v>554000</v>
      </c>
      <c r="J34" t="s">
        <v>12</v>
      </c>
      <c r="K34" s="86">
        <v>136858.12999999998</v>
      </c>
      <c r="L34" s="48"/>
      <c r="M34" s="86">
        <v>90676</v>
      </c>
      <c r="O34" s="18">
        <v>544000</v>
      </c>
      <c r="P34" s="220" t="s">
        <v>335</v>
      </c>
      <c r="Q34" s="210"/>
      <c r="R34" s="215">
        <f t="shared" si="5"/>
        <v>327619.72000000003</v>
      </c>
      <c r="S34" s="212"/>
      <c r="T34" s="215">
        <f t="shared" si="0"/>
        <v>232256</v>
      </c>
    </row>
    <row r="35" spans="1:20" ht="13.5" customHeight="1">
      <c r="A35" s="18">
        <f t="shared" si="1"/>
        <v>5520</v>
      </c>
      <c r="B35" s="18">
        <f t="shared" si="2"/>
        <v>552000</v>
      </c>
      <c r="C35" t="s">
        <v>40</v>
      </c>
      <c r="D35" t="s">
        <v>14</v>
      </c>
      <c r="E35" s="86">
        <v>406277.55</v>
      </c>
      <c r="F35" s="48"/>
      <c r="G35" s="86">
        <v>301563</v>
      </c>
      <c r="H35" s="18">
        <f t="shared" si="3"/>
        <v>5680</v>
      </c>
      <c r="I35" s="18">
        <f t="shared" si="4"/>
        <v>568000</v>
      </c>
      <c r="J35" s="38" t="s">
        <v>377</v>
      </c>
      <c r="K35" s="54">
        <v>183024.05</v>
      </c>
      <c r="L35" s="54"/>
      <c r="M35" s="39">
        <v>147630</v>
      </c>
      <c r="O35" s="18">
        <v>545000</v>
      </c>
      <c r="P35" s="220" t="s">
        <v>341</v>
      </c>
      <c r="Q35" s="210"/>
      <c r="R35" s="215">
        <f t="shared" si="5"/>
        <v>24404.590000000004</v>
      </c>
      <c r="S35" s="212"/>
      <c r="T35" s="215">
        <f t="shared" si="0"/>
        <v>11633</v>
      </c>
    </row>
    <row r="36" spans="1:20" ht="13.5" customHeight="1">
      <c r="A36" s="18">
        <f t="shared" si="1"/>
        <v>5530</v>
      </c>
      <c r="B36" s="18">
        <f t="shared" si="2"/>
        <v>553000</v>
      </c>
      <c r="C36" t="s">
        <v>40</v>
      </c>
      <c r="D36" t="s">
        <v>13</v>
      </c>
      <c r="E36" s="86">
        <v>5384838.2000000002</v>
      </c>
      <c r="F36" s="48"/>
      <c r="G36" s="86">
        <v>6902063</v>
      </c>
      <c r="H36" s="18">
        <f t="shared" si="3"/>
        <v>5690</v>
      </c>
      <c r="I36" s="18">
        <f t="shared" si="4"/>
        <v>569000</v>
      </c>
      <c r="J36" s="40" t="s">
        <v>60</v>
      </c>
      <c r="K36" s="53">
        <v>6087.76</v>
      </c>
      <c r="L36" s="53"/>
      <c r="M36" s="41">
        <v>0</v>
      </c>
      <c r="P36" s="211" t="s">
        <v>325</v>
      </c>
      <c r="Q36" s="210"/>
      <c r="R36" s="215" t="str">
        <f t="shared" si="5"/>
        <v/>
      </c>
      <c r="S36" s="212"/>
      <c r="T36" s="215" t="str">
        <f t="shared" si="0"/>
        <v/>
      </c>
    </row>
    <row r="37" spans="1:20" ht="13.5" customHeight="1">
      <c r="A37" s="18">
        <f t="shared" si="1"/>
        <v>5533</v>
      </c>
      <c r="B37" s="18">
        <f t="shared" si="2"/>
        <v>553300</v>
      </c>
      <c r="C37" t="s">
        <v>40</v>
      </c>
      <c r="D37" t="s">
        <v>319</v>
      </c>
      <c r="E37" s="86">
        <v>0</v>
      </c>
      <c r="F37" s="48"/>
      <c r="G37" s="86">
        <v>158400</v>
      </c>
      <c r="H37" s="18">
        <f t="shared" si="3"/>
        <v>5700</v>
      </c>
      <c r="I37" s="18">
        <f t="shared" si="4"/>
        <v>570000</v>
      </c>
      <c r="J37" s="40" t="s">
        <v>11</v>
      </c>
      <c r="K37" s="53">
        <v>429790.11</v>
      </c>
      <c r="L37" s="53"/>
      <c r="M37" s="41">
        <v>732956</v>
      </c>
      <c r="P37" s="213" t="s">
        <v>327</v>
      </c>
      <c r="Q37" s="210"/>
      <c r="R37" s="215" t="str">
        <f t="shared" si="5"/>
        <v/>
      </c>
      <c r="S37" s="212"/>
      <c r="T37" s="215" t="str">
        <f t="shared" si="0"/>
        <v/>
      </c>
    </row>
    <row r="38" spans="1:20" ht="13.5" customHeight="1" thickBot="1">
      <c r="A38" s="18">
        <f t="shared" si="1"/>
        <v>5540</v>
      </c>
      <c r="B38" s="18">
        <f t="shared" si="2"/>
        <v>554000</v>
      </c>
      <c r="C38" t="s">
        <v>40</v>
      </c>
      <c r="D38" t="s">
        <v>12</v>
      </c>
      <c r="E38" s="86">
        <v>124507.78999999998</v>
      </c>
      <c r="F38" s="86"/>
      <c r="G38" s="86">
        <v>188132</v>
      </c>
      <c r="H38" s="18">
        <f t="shared" si="3"/>
        <v>5710</v>
      </c>
      <c r="I38" s="18">
        <f t="shared" si="4"/>
        <v>571000</v>
      </c>
      <c r="J38" s="40" t="s">
        <v>317</v>
      </c>
      <c r="K38" s="53">
        <v>99357.81</v>
      </c>
      <c r="L38" s="53"/>
      <c r="M38" s="41">
        <v>109678</v>
      </c>
      <c r="O38" s="18">
        <v>546000</v>
      </c>
      <c r="P38" s="220" t="s">
        <v>328</v>
      </c>
      <c r="Q38" s="210"/>
      <c r="R38" s="215">
        <f t="shared" si="5"/>
        <v>1049650.3600000001</v>
      </c>
      <c r="S38" s="212"/>
      <c r="T38" s="215">
        <f t="shared" si="0"/>
        <v>1938427</v>
      </c>
    </row>
    <row r="39" spans="1:20" ht="13.5" customHeight="1" thickBot="1">
      <c r="A39" s="18">
        <v>5680</v>
      </c>
      <c r="B39" s="18">
        <v>568000</v>
      </c>
      <c r="C39" t="s">
        <v>40</v>
      </c>
      <c r="D39" s="38" t="s">
        <v>377</v>
      </c>
      <c r="E39" s="54">
        <v>183024.05</v>
      </c>
      <c r="F39" s="54"/>
      <c r="G39" s="39">
        <v>147630</v>
      </c>
      <c r="H39" s="18">
        <f t="shared" si="3"/>
        <v>5720</v>
      </c>
      <c r="I39" s="18">
        <f t="shared" si="4"/>
        <v>572000</v>
      </c>
      <c r="J39" s="42" t="s">
        <v>59</v>
      </c>
      <c r="K39" s="55">
        <v>23631.73</v>
      </c>
      <c r="L39" s="55"/>
      <c r="M39" s="43">
        <v>11918</v>
      </c>
      <c r="O39" s="18">
        <v>547000</v>
      </c>
      <c r="P39" s="220" t="s">
        <v>323</v>
      </c>
      <c r="Q39" s="210"/>
      <c r="R39" s="215" t="str">
        <f t="shared" si="5"/>
        <v/>
      </c>
      <c r="S39" s="212"/>
      <c r="T39" s="215" t="str">
        <f t="shared" si="0"/>
        <v/>
      </c>
    </row>
    <row r="40" spans="1:20" ht="13.5" customHeight="1">
      <c r="A40" s="18">
        <f t="shared" si="1"/>
        <v>5690</v>
      </c>
      <c r="B40" s="18">
        <f t="shared" si="2"/>
        <v>569000</v>
      </c>
      <c r="C40" t="s">
        <v>40</v>
      </c>
      <c r="D40" s="40" t="s">
        <v>60</v>
      </c>
      <c r="E40" s="53">
        <v>843722.14</v>
      </c>
      <c r="F40" s="53"/>
      <c r="G40" s="41">
        <v>0</v>
      </c>
      <c r="H40" s="18">
        <f t="shared" si="3"/>
        <v>5900</v>
      </c>
      <c r="I40" s="18">
        <f t="shared" si="4"/>
        <v>590000</v>
      </c>
      <c r="J40" t="s">
        <v>10</v>
      </c>
      <c r="K40" s="86">
        <v>1542900.6</v>
      </c>
      <c r="L40" s="86"/>
      <c r="M40" s="86">
        <v>1674984</v>
      </c>
      <c r="O40" s="18">
        <v>548000</v>
      </c>
      <c r="P40" s="220" t="s">
        <v>342</v>
      </c>
      <c r="Q40" s="210"/>
      <c r="R40" s="215">
        <f t="shared" si="5"/>
        <v>0</v>
      </c>
      <c r="S40" s="212"/>
      <c r="T40" s="215">
        <f t="shared" si="0"/>
        <v>475931</v>
      </c>
    </row>
    <row r="41" spans="1:20" ht="13.5" customHeight="1">
      <c r="A41" s="18">
        <f t="shared" si="1"/>
        <v>5700</v>
      </c>
      <c r="B41" s="18">
        <f t="shared" si="2"/>
        <v>570000</v>
      </c>
      <c r="C41" t="s">
        <v>40</v>
      </c>
      <c r="D41" s="40" t="s">
        <v>11</v>
      </c>
      <c r="E41" s="53">
        <v>647753.09000000008</v>
      </c>
      <c r="F41" s="53"/>
      <c r="G41" s="41">
        <v>929469</v>
      </c>
      <c r="H41" s="18">
        <f t="shared" si="3"/>
        <v>5920</v>
      </c>
      <c r="I41" s="18">
        <f t="shared" si="4"/>
        <v>592000</v>
      </c>
      <c r="J41" t="s">
        <v>9</v>
      </c>
      <c r="K41" s="86">
        <v>1931104.95</v>
      </c>
      <c r="L41" s="48"/>
      <c r="M41" s="86">
        <v>1805878</v>
      </c>
      <c r="O41" s="18">
        <v>549000</v>
      </c>
      <c r="P41" s="220" t="s">
        <v>343</v>
      </c>
      <c r="Q41" s="210"/>
      <c r="R41" s="215">
        <f t="shared" si="5"/>
        <v>16866.53</v>
      </c>
      <c r="S41" s="212"/>
      <c r="T41" s="215">
        <f t="shared" si="0"/>
        <v>8538</v>
      </c>
    </row>
    <row r="42" spans="1:20" ht="13.5" customHeight="1">
      <c r="A42" s="18">
        <f t="shared" si="1"/>
        <v>5710</v>
      </c>
      <c r="B42" s="18">
        <f t="shared" si="2"/>
        <v>571000</v>
      </c>
      <c r="C42" t="s">
        <v>40</v>
      </c>
      <c r="D42" s="40" t="s">
        <v>317</v>
      </c>
      <c r="E42" s="53">
        <v>245371.8</v>
      </c>
      <c r="F42" s="53"/>
      <c r="G42" s="41">
        <v>109678</v>
      </c>
      <c r="H42" s="18">
        <f t="shared" si="3"/>
        <v>5930</v>
      </c>
      <c r="I42" s="18">
        <f t="shared" si="4"/>
        <v>593000</v>
      </c>
      <c r="J42" t="s">
        <v>8</v>
      </c>
      <c r="K42" s="86">
        <v>3646750.84</v>
      </c>
      <c r="L42" s="48"/>
      <c r="M42" s="86">
        <v>3493602</v>
      </c>
      <c r="P42" s="213" t="s">
        <v>332</v>
      </c>
      <c r="Q42" s="210"/>
      <c r="R42" s="215" t="str">
        <f t="shared" si="5"/>
        <v/>
      </c>
      <c r="S42" s="212"/>
      <c r="T42" s="215" t="str">
        <f t="shared" si="0"/>
        <v/>
      </c>
    </row>
    <row r="43" spans="1:20" ht="13.5" customHeight="1" thickBot="1">
      <c r="A43" s="18">
        <f t="shared" si="1"/>
        <v>5720</v>
      </c>
      <c r="B43" s="18">
        <f t="shared" si="2"/>
        <v>572000</v>
      </c>
      <c r="C43" t="s">
        <v>40</v>
      </c>
      <c r="D43" s="42" t="s">
        <v>59</v>
      </c>
      <c r="E43" s="55">
        <v>48135.12999999999</v>
      </c>
      <c r="F43" s="55"/>
      <c r="G43" s="43">
        <v>17186</v>
      </c>
      <c r="H43" s="18">
        <f t="shared" si="3"/>
        <v>5940</v>
      </c>
      <c r="I43" s="18">
        <f t="shared" si="4"/>
        <v>594000</v>
      </c>
      <c r="J43" t="s">
        <v>7</v>
      </c>
      <c r="K43" s="86">
        <v>5040336.3099999996</v>
      </c>
      <c r="L43" s="48"/>
      <c r="M43" s="86">
        <v>4768579</v>
      </c>
      <c r="O43" s="18">
        <v>551000</v>
      </c>
      <c r="P43" s="220" t="s">
        <v>328</v>
      </c>
      <c r="Q43" s="210"/>
      <c r="R43" s="215">
        <f t="shared" si="5"/>
        <v>1057514.73</v>
      </c>
      <c r="S43" s="212"/>
      <c r="T43" s="215">
        <f t="shared" si="0"/>
        <v>1080518</v>
      </c>
    </row>
    <row r="44" spans="1:20" ht="13.5" customHeight="1">
      <c r="A44" s="18">
        <f t="shared" si="1"/>
        <v>5900</v>
      </c>
      <c r="B44" s="18">
        <f t="shared" si="2"/>
        <v>590000</v>
      </c>
      <c r="C44" t="s">
        <v>40</v>
      </c>
      <c r="D44" t="s">
        <v>10</v>
      </c>
      <c r="E44" s="86">
        <v>1543267.9200000002</v>
      </c>
      <c r="F44" s="48"/>
      <c r="G44" s="86">
        <v>1674984</v>
      </c>
      <c r="H44" s="18">
        <f t="shared" si="3"/>
        <v>5950</v>
      </c>
      <c r="I44" s="18">
        <f t="shared" si="4"/>
        <v>595000</v>
      </c>
      <c r="J44" t="s">
        <v>6</v>
      </c>
      <c r="K44" s="86">
        <v>466999.38999999996</v>
      </c>
      <c r="L44" s="48"/>
      <c r="M44" s="86">
        <v>489129</v>
      </c>
      <c r="O44" s="18">
        <v>552000</v>
      </c>
      <c r="P44" s="220" t="s">
        <v>333</v>
      </c>
      <c r="Q44" s="210"/>
      <c r="R44" s="215">
        <f t="shared" si="5"/>
        <v>159389.05000000002</v>
      </c>
      <c r="S44" s="212"/>
      <c r="T44" s="215">
        <f t="shared" ref="T44:T75" si="6">IFERROR(VLOOKUP($O44,$I$12:$M$73,5,FALSE),"")</f>
        <v>91563</v>
      </c>
    </row>
    <row r="45" spans="1:20" ht="13.5" customHeight="1">
      <c r="A45" s="18">
        <f t="shared" si="1"/>
        <v>5910</v>
      </c>
      <c r="B45" s="18">
        <f t="shared" si="2"/>
        <v>591000</v>
      </c>
      <c r="C45" t="s">
        <v>40</v>
      </c>
      <c r="D45" t="s">
        <v>378</v>
      </c>
      <c r="E45" s="86">
        <v>379882.94</v>
      </c>
      <c r="F45" s="48"/>
      <c r="G45" s="86">
        <v>0</v>
      </c>
      <c r="H45" s="18">
        <f t="shared" si="3"/>
        <v>5960</v>
      </c>
      <c r="I45" s="18">
        <f t="shared" si="4"/>
        <v>596000</v>
      </c>
      <c r="J45" t="s">
        <v>318</v>
      </c>
      <c r="K45" s="86">
        <v>84578.43</v>
      </c>
      <c r="L45" s="48"/>
      <c r="M45" s="86">
        <v>4552</v>
      </c>
      <c r="O45" s="18">
        <v>553000</v>
      </c>
      <c r="P45" s="220" t="s">
        <v>344</v>
      </c>
      <c r="Q45" s="210"/>
      <c r="R45" s="215">
        <f t="shared" si="5"/>
        <v>2075227.0899999999</v>
      </c>
      <c r="S45" s="212"/>
      <c r="T45" s="215">
        <f t="shared" si="6"/>
        <v>1794917</v>
      </c>
    </row>
    <row r="46" spans="1:20" ht="13.5" customHeight="1">
      <c r="A46" s="18">
        <f t="shared" si="1"/>
        <v>5920</v>
      </c>
      <c r="B46" s="18">
        <f t="shared" si="2"/>
        <v>592000</v>
      </c>
      <c r="C46" t="s">
        <v>40</v>
      </c>
      <c r="D46" t="s">
        <v>9</v>
      </c>
      <c r="E46" s="86">
        <v>2644154.9799999995</v>
      </c>
      <c r="F46" s="48"/>
      <c r="G46" s="86">
        <v>2234677</v>
      </c>
      <c r="H46" s="18">
        <f t="shared" si="3"/>
        <v>5970</v>
      </c>
      <c r="I46" s="18">
        <f t="shared" si="4"/>
        <v>597000</v>
      </c>
      <c r="J46" t="s">
        <v>5</v>
      </c>
      <c r="K46" s="86">
        <v>83262.8</v>
      </c>
      <c r="L46" s="48"/>
      <c r="M46" s="86">
        <v>80708</v>
      </c>
      <c r="O46" s="18">
        <v>554000</v>
      </c>
      <c r="P46" s="220" t="s">
        <v>345</v>
      </c>
      <c r="Q46" s="210"/>
      <c r="R46" s="215">
        <f t="shared" si="5"/>
        <v>136858.12999999998</v>
      </c>
      <c r="S46" s="212"/>
      <c r="T46" s="215">
        <f t="shared" si="6"/>
        <v>90676</v>
      </c>
    </row>
    <row r="47" spans="1:20" ht="13.5" customHeight="1">
      <c r="A47" s="18">
        <f t="shared" si="1"/>
        <v>5930</v>
      </c>
      <c r="B47" s="18">
        <f t="shared" si="2"/>
        <v>593000</v>
      </c>
      <c r="C47" t="s">
        <v>40</v>
      </c>
      <c r="D47" t="s">
        <v>8</v>
      </c>
      <c r="E47" s="86">
        <v>6798764.7699999996</v>
      </c>
      <c r="F47" s="48"/>
      <c r="G47" s="86">
        <v>6697148</v>
      </c>
      <c r="H47" s="18">
        <v>5980</v>
      </c>
      <c r="I47" s="18">
        <v>598000</v>
      </c>
      <c r="J47" t="s">
        <v>810</v>
      </c>
      <c r="K47" s="86">
        <v>1493.48</v>
      </c>
      <c r="L47" s="48"/>
      <c r="M47" s="86">
        <v>0</v>
      </c>
      <c r="P47" s="213" t="s">
        <v>346</v>
      </c>
      <c r="Q47" s="210"/>
      <c r="R47" s="215" t="str">
        <f t="shared" si="5"/>
        <v/>
      </c>
      <c r="S47" s="212"/>
      <c r="T47" s="215" t="str">
        <f t="shared" si="6"/>
        <v/>
      </c>
    </row>
    <row r="48" spans="1:20" ht="13.5" customHeight="1">
      <c r="A48" s="18">
        <f t="shared" si="1"/>
        <v>5940</v>
      </c>
      <c r="B48" s="18">
        <f t="shared" si="2"/>
        <v>594000</v>
      </c>
      <c r="C48" t="s">
        <v>40</v>
      </c>
      <c r="D48" t="s">
        <v>7</v>
      </c>
      <c r="E48" s="86">
        <v>7063666.4300000006</v>
      </c>
      <c r="F48" s="48"/>
      <c r="G48" s="86">
        <v>5498465</v>
      </c>
      <c r="H48" s="18">
        <f t="shared" si="3"/>
        <v>9080</v>
      </c>
      <c r="I48" s="18">
        <f t="shared" si="4"/>
        <v>908000</v>
      </c>
      <c r="J48" t="s">
        <v>4</v>
      </c>
      <c r="K48" s="86">
        <v>0</v>
      </c>
      <c r="L48" s="48"/>
      <c r="M48" s="86">
        <v>366311</v>
      </c>
      <c r="O48" s="18">
        <v>555000</v>
      </c>
      <c r="P48" s="220" t="s">
        <v>347</v>
      </c>
      <c r="Q48" s="210"/>
      <c r="R48" s="215" t="str">
        <f t="shared" si="5"/>
        <v/>
      </c>
      <c r="S48" s="212"/>
      <c r="T48" s="215" t="str">
        <f t="shared" si="6"/>
        <v/>
      </c>
    </row>
    <row r="49" spans="1:20" ht="13.5" customHeight="1">
      <c r="A49" s="18">
        <f t="shared" si="1"/>
        <v>5950</v>
      </c>
      <c r="B49" s="18">
        <f t="shared" si="2"/>
        <v>595000</v>
      </c>
      <c r="C49" t="s">
        <v>40</v>
      </c>
      <c r="D49" t="s">
        <v>6</v>
      </c>
      <c r="E49" s="86">
        <v>587392.62000000011</v>
      </c>
      <c r="F49" s="48"/>
      <c r="G49" s="86">
        <v>634759</v>
      </c>
      <c r="H49" s="18">
        <f t="shared" si="3"/>
        <v>9080</v>
      </c>
      <c r="I49" s="18">
        <f t="shared" si="4"/>
        <v>908011</v>
      </c>
      <c r="J49" t="s">
        <v>3</v>
      </c>
      <c r="K49" s="86">
        <v>1231695.7699999998</v>
      </c>
      <c r="L49" s="48"/>
      <c r="M49" s="86">
        <v>729428</v>
      </c>
      <c r="O49" s="18">
        <v>556000</v>
      </c>
      <c r="P49" s="220" t="s">
        <v>348</v>
      </c>
      <c r="Q49" s="210"/>
      <c r="R49" s="215" t="str">
        <f t="shared" si="5"/>
        <v/>
      </c>
      <c r="S49" s="212"/>
      <c r="T49" s="215" t="str">
        <f t="shared" si="6"/>
        <v/>
      </c>
    </row>
    <row r="50" spans="1:20" ht="13.5" customHeight="1" thickBot="1">
      <c r="A50" s="18">
        <f t="shared" si="1"/>
        <v>5960</v>
      </c>
      <c r="B50" s="18">
        <f t="shared" si="2"/>
        <v>596000</v>
      </c>
      <c r="C50" t="s">
        <v>40</v>
      </c>
      <c r="D50" t="s">
        <v>318</v>
      </c>
      <c r="E50" s="86">
        <v>512138.49</v>
      </c>
      <c r="F50" s="48"/>
      <c r="G50" s="86">
        <v>5422</v>
      </c>
      <c r="H50" s="18">
        <f t="shared" si="3"/>
        <v>9080</v>
      </c>
      <c r="I50" s="18">
        <f t="shared" si="4"/>
        <v>908015</v>
      </c>
      <c r="J50" t="s">
        <v>54</v>
      </c>
      <c r="K50" s="86">
        <v>0</v>
      </c>
      <c r="L50" s="48"/>
      <c r="M50" s="86">
        <v>0</v>
      </c>
      <c r="O50" s="18">
        <v>557000</v>
      </c>
      <c r="P50" s="220" t="s">
        <v>349</v>
      </c>
      <c r="Q50" s="210"/>
      <c r="R50" s="215" t="str">
        <f t="shared" si="5"/>
        <v/>
      </c>
      <c r="S50" s="212"/>
      <c r="T50" s="215" t="str">
        <f t="shared" si="6"/>
        <v/>
      </c>
    </row>
    <row r="51" spans="1:20" ht="13.5" customHeight="1">
      <c r="A51" s="18">
        <f t="shared" si="1"/>
        <v>5970</v>
      </c>
      <c r="B51" s="18">
        <f t="shared" si="2"/>
        <v>597000</v>
      </c>
      <c r="C51" t="s">
        <v>40</v>
      </c>
      <c r="D51" t="s">
        <v>5</v>
      </c>
      <c r="E51" s="86">
        <v>409564.77</v>
      </c>
      <c r="F51" s="48"/>
      <c r="G51" s="86">
        <v>213173</v>
      </c>
      <c r="H51" s="18">
        <f t="shared" si="3"/>
        <v>9200</v>
      </c>
      <c r="I51" s="18">
        <f t="shared" si="4"/>
        <v>920000</v>
      </c>
      <c r="J51" s="82" t="s">
        <v>48</v>
      </c>
      <c r="K51" s="83">
        <v>27457499.949999999</v>
      </c>
      <c r="L51" s="83"/>
      <c r="M51" s="84">
        <v>31563917</v>
      </c>
      <c r="P51" s="211" t="s">
        <v>350</v>
      </c>
      <c r="Q51" s="210"/>
      <c r="R51" s="215" t="str">
        <f t="shared" si="5"/>
        <v/>
      </c>
      <c r="S51" s="212"/>
      <c r="T51" s="215" t="str">
        <f t="shared" si="6"/>
        <v/>
      </c>
    </row>
    <row r="52" spans="1:20" ht="13.5" customHeight="1">
      <c r="A52" s="18">
        <v>5980</v>
      </c>
      <c r="B52" s="18">
        <v>598000</v>
      </c>
      <c r="C52" t="s">
        <v>40</v>
      </c>
      <c r="D52" t="s">
        <v>810</v>
      </c>
      <c r="E52" s="86">
        <v>621194.18000000005</v>
      </c>
      <c r="F52" s="48"/>
      <c r="G52" s="86">
        <v>0</v>
      </c>
      <c r="H52" s="18">
        <f t="shared" si="3"/>
        <v>9210</v>
      </c>
      <c r="I52" s="18">
        <f t="shared" si="4"/>
        <v>921000</v>
      </c>
      <c r="J52" s="85" t="s">
        <v>47</v>
      </c>
      <c r="K52" s="86">
        <v>27620.179999999997</v>
      </c>
      <c r="L52" s="86"/>
      <c r="M52" s="87">
        <v>79003</v>
      </c>
      <c r="P52" s="213" t="s">
        <v>327</v>
      </c>
      <c r="Q52" s="210"/>
      <c r="R52" s="215" t="str">
        <f t="shared" si="5"/>
        <v/>
      </c>
      <c r="S52" s="212"/>
      <c r="T52" s="215" t="str">
        <f t="shared" si="6"/>
        <v/>
      </c>
    </row>
    <row r="53" spans="1:20" ht="13.5" customHeight="1">
      <c r="A53" s="18">
        <f t="shared" si="1"/>
        <v>9080</v>
      </c>
      <c r="B53" s="18">
        <f t="shared" si="2"/>
        <v>908000</v>
      </c>
      <c r="C53" t="s">
        <v>40</v>
      </c>
      <c r="D53" t="s">
        <v>4</v>
      </c>
      <c r="E53" s="86">
        <v>0</v>
      </c>
      <c r="F53" s="48"/>
      <c r="G53" s="86">
        <v>733983</v>
      </c>
      <c r="H53" s="18">
        <f t="shared" si="3"/>
        <v>9260</v>
      </c>
      <c r="I53" s="18">
        <f t="shared" si="4"/>
        <v>926000</v>
      </c>
      <c r="J53" s="85" t="s">
        <v>43</v>
      </c>
      <c r="K53" s="86">
        <v>29020886.68</v>
      </c>
      <c r="L53" s="86"/>
      <c r="M53" s="87">
        <v>35626436</v>
      </c>
      <c r="O53" s="18">
        <v>560000</v>
      </c>
      <c r="P53" s="220" t="s">
        <v>328</v>
      </c>
      <c r="Q53" s="210"/>
      <c r="R53" s="215">
        <f t="shared" si="5"/>
        <v>4217458.43</v>
      </c>
      <c r="S53" s="212"/>
      <c r="T53" s="215">
        <f t="shared" si="6"/>
        <v>4979296</v>
      </c>
    </row>
    <row r="54" spans="1:20" ht="13.5" customHeight="1">
      <c r="A54" s="18">
        <f t="shared" si="1"/>
        <v>9080</v>
      </c>
      <c r="B54" s="18">
        <f t="shared" si="2"/>
        <v>908011</v>
      </c>
      <c r="C54" t="s">
        <v>40</v>
      </c>
      <c r="D54" t="s">
        <v>3</v>
      </c>
      <c r="E54" s="86">
        <v>2607958.6199999996</v>
      </c>
      <c r="F54" s="48"/>
      <c r="G54" s="86">
        <v>3068783</v>
      </c>
      <c r="H54" s="18">
        <v>9300</v>
      </c>
      <c r="I54" s="18">
        <v>930000</v>
      </c>
      <c r="J54" s="85" t="s">
        <v>811</v>
      </c>
      <c r="K54" s="86">
        <v>141.62</v>
      </c>
      <c r="L54" s="86"/>
      <c r="M54" s="87">
        <v>0</v>
      </c>
      <c r="O54" s="18">
        <v>561000</v>
      </c>
      <c r="P54" s="220" t="s">
        <v>351</v>
      </c>
      <c r="Q54" s="210"/>
      <c r="R54" s="215">
        <f t="shared" si="5"/>
        <v>0</v>
      </c>
      <c r="S54" s="212"/>
      <c r="T54" s="215">
        <f t="shared" si="6"/>
        <v>267468</v>
      </c>
    </row>
    <row r="55" spans="1:20" ht="13.5" customHeight="1">
      <c r="A55" s="18">
        <f t="shared" si="1"/>
        <v>9080</v>
      </c>
      <c r="B55" s="18">
        <f t="shared" si="2"/>
        <v>908015</v>
      </c>
      <c r="C55" t="s">
        <v>40</v>
      </c>
      <c r="D55" t="s">
        <v>54</v>
      </c>
      <c r="E55" s="86">
        <v>0</v>
      </c>
      <c r="F55" s="48"/>
      <c r="G55" s="86">
        <v>67769</v>
      </c>
      <c r="H55" s="18">
        <v>9301</v>
      </c>
      <c r="I55" s="18">
        <v>930100</v>
      </c>
      <c r="J55" s="85" t="s">
        <v>812</v>
      </c>
      <c r="K55" s="86">
        <v>293.22000000000003</v>
      </c>
      <c r="L55" s="86"/>
      <c r="M55" s="87">
        <v>0</v>
      </c>
      <c r="O55" s="18">
        <v>561100</v>
      </c>
      <c r="P55" s="220" t="s">
        <v>351</v>
      </c>
      <c r="Q55" s="210"/>
      <c r="R55" s="215">
        <f>IFERROR(VLOOKUP($O55,$I$12:$M$73,3,FALSE),"")</f>
        <v>228815.64999999997</v>
      </c>
      <c r="S55" s="212"/>
      <c r="T55" s="215">
        <f t="shared" si="6"/>
        <v>0</v>
      </c>
    </row>
    <row r="56" spans="1:20" ht="13.5" customHeight="1" thickBot="1">
      <c r="A56" s="18">
        <f t="shared" si="1"/>
        <v>9090</v>
      </c>
      <c r="B56" s="18">
        <f t="shared" si="2"/>
        <v>909015</v>
      </c>
      <c r="C56" t="s">
        <v>40</v>
      </c>
      <c r="D56" t="s">
        <v>53</v>
      </c>
      <c r="E56" s="86">
        <v>369517.52</v>
      </c>
      <c r="F56" s="48"/>
      <c r="G56" s="86">
        <v>0</v>
      </c>
      <c r="H56" s="18">
        <f t="shared" si="3"/>
        <v>9302</v>
      </c>
      <c r="I56" s="18">
        <f t="shared" si="4"/>
        <v>930200</v>
      </c>
      <c r="J56" s="85" t="s">
        <v>50</v>
      </c>
      <c r="K56" s="86">
        <v>0</v>
      </c>
      <c r="L56" s="86"/>
      <c r="M56" s="87">
        <v>0</v>
      </c>
      <c r="O56" s="18">
        <v>562000</v>
      </c>
      <c r="P56" s="220" t="s">
        <v>352</v>
      </c>
      <c r="Q56" s="210"/>
      <c r="R56" s="215" t="str">
        <f t="shared" si="5"/>
        <v/>
      </c>
      <c r="S56" s="212"/>
      <c r="T56" s="215" t="str">
        <f t="shared" si="6"/>
        <v/>
      </c>
    </row>
    <row r="57" spans="1:20" ht="13.5" customHeight="1" thickBot="1">
      <c r="A57" s="18">
        <f t="shared" si="1"/>
        <v>9200</v>
      </c>
      <c r="B57" s="18">
        <f t="shared" si="2"/>
        <v>920000</v>
      </c>
      <c r="C57" t="s">
        <v>40</v>
      </c>
      <c r="D57" s="82" t="s">
        <v>48</v>
      </c>
      <c r="E57" s="83">
        <v>27503356.75</v>
      </c>
      <c r="F57" s="83"/>
      <c r="G57" s="84">
        <v>31552536</v>
      </c>
      <c r="H57" s="18">
        <f t="shared" si="3"/>
        <v>9320</v>
      </c>
      <c r="I57" s="18">
        <f t="shared" si="4"/>
        <v>932000</v>
      </c>
      <c r="J57" s="88" t="s">
        <v>42</v>
      </c>
      <c r="K57" s="89">
        <v>1732104.16</v>
      </c>
      <c r="L57" s="89"/>
      <c r="M57" s="90">
        <v>1575417</v>
      </c>
      <c r="O57" s="18">
        <v>563000</v>
      </c>
      <c r="P57" s="220" t="s">
        <v>353</v>
      </c>
      <c r="Q57" s="210"/>
      <c r="R57" s="215" t="str">
        <f t="shared" si="5"/>
        <v/>
      </c>
      <c r="S57" s="212"/>
      <c r="T57" s="215" t="str">
        <f t="shared" si="6"/>
        <v/>
      </c>
    </row>
    <row r="58" spans="1:20" ht="13.5" customHeight="1">
      <c r="A58" s="18">
        <f t="shared" si="1"/>
        <v>9210</v>
      </c>
      <c r="B58" s="18">
        <f t="shared" si="2"/>
        <v>921000</v>
      </c>
      <c r="C58" t="s">
        <v>40</v>
      </c>
      <c r="D58" s="85" t="s">
        <v>47</v>
      </c>
      <c r="E58" s="86"/>
      <c r="F58" s="86"/>
      <c r="G58" s="87">
        <v>20599773</v>
      </c>
      <c r="H58" s="18">
        <f t="shared" si="3"/>
        <v>9010</v>
      </c>
      <c r="I58" s="18">
        <f t="shared" si="4"/>
        <v>901000</v>
      </c>
      <c r="J58" t="s">
        <v>2</v>
      </c>
      <c r="K58" s="86">
        <v>83711.01999999999</v>
      </c>
      <c r="L58" s="86"/>
      <c r="M58" s="86">
        <v>85124</v>
      </c>
      <c r="O58" s="18">
        <v>566000</v>
      </c>
      <c r="P58" s="220" t="s">
        <v>354</v>
      </c>
      <c r="Q58" s="210"/>
      <c r="R58" s="215" t="str">
        <f t="shared" si="5"/>
        <v/>
      </c>
      <c r="S58" s="212"/>
      <c r="T58" s="215" t="str">
        <f t="shared" si="6"/>
        <v/>
      </c>
    </row>
    <row r="59" spans="1:20" ht="13.5" customHeight="1">
      <c r="A59" s="18">
        <f t="shared" si="1"/>
        <v>9210</v>
      </c>
      <c r="B59" s="18">
        <f t="shared" si="2"/>
        <v>921001</v>
      </c>
      <c r="C59" t="s">
        <v>40</v>
      </c>
      <c r="D59" s="85" t="s">
        <v>742</v>
      </c>
      <c r="E59" s="86">
        <v>17184953.16</v>
      </c>
      <c r="F59" s="86"/>
      <c r="G59" s="87">
        <v>0</v>
      </c>
      <c r="H59" s="18">
        <f t="shared" si="3"/>
        <v>9020</v>
      </c>
      <c r="I59" s="18">
        <f t="shared" si="4"/>
        <v>902000</v>
      </c>
      <c r="J59" t="s">
        <v>1</v>
      </c>
      <c r="K59" s="86">
        <v>2538.17</v>
      </c>
      <c r="L59" s="86"/>
      <c r="M59" s="86">
        <v>3653</v>
      </c>
      <c r="P59" s="213" t="s">
        <v>332</v>
      </c>
      <c r="Q59" s="210"/>
      <c r="R59" s="215" t="str">
        <f t="shared" si="5"/>
        <v/>
      </c>
      <c r="S59" s="212"/>
      <c r="T59" s="215" t="str">
        <f t="shared" si="6"/>
        <v/>
      </c>
    </row>
    <row r="60" spans="1:20" ht="13.5" customHeight="1">
      <c r="A60" s="18">
        <f t="shared" si="1"/>
        <v>9220</v>
      </c>
      <c r="B60" s="18">
        <f t="shared" si="2"/>
        <v>922000</v>
      </c>
      <c r="C60" t="s">
        <v>40</v>
      </c>
      <c r="D60" s="85" t="s">
        <v>46</v>
      </c>
      <c r="E60" s="86">
        <v>-5315908.95</v>
      </c>
      <c r="F60" s="86"/>
      <c r="G60" s="87">
        <v>-6286320</v>
      </c>
      <c r="H60" s="18">
        <f t="shared" si="3"/>
        <v>9030</v>
      </c>
      <c r="I60" s="18">
        <f t="shared" si="4"/>
        <v>903000</v>
      </c>
      <c r="J60" t="s">
        <v>0</v>
      </c>
      <c r="K60" s="86">
        <v>7149563.46</v>
      </c>
      <c r="L60" s="86"/>
      <c r="M60" s="86">
        <v>7317137</v>
      </c>
      <c r="O60" s="18">
        <v>568000</v>
      </c>
      <c r="P60" s="220" t="s">
        <v>328</v>
      </c>
      <c r="Q60" s="210"/>
      <c r="R60" s="215">
        <f t="shared" si="5"/>
        <v>183024.05</v>
      </c>
      <c r="S60" s="212"/>
      <c r="T60" s="215">
        <f t="shared" si="6"/>
        <v>147630</v>
      </c>
    </row>
    <row r="61" spans="1:20" ht="13.5" customHeight="1">
      <c r="A61" s="18">
        <f t="shared" si="1"/>
        <v>9230</v>
      </c>
      <c r="B61" s="18">
        <f t="shared" si="2"/>
        <v>923000</v>
      </c>
      <c r="C61" t="s">
        <v>40</v>
      </c>
      <c r="D61" s="85" t="s">
        <v>45</v>
      </c>
      <c r="E61" s="86">
        <v>3788114.23</v>
      </c>
      <c r="F61" s="86"/>
      <c r="G61" s="87">
        <v>3610132</v>
      </c>
      <c r="H61" s="18">
        <f t="shared" si="3"/>
        <v>5000</v>
      </c>
      <c r="I61" s="18">
        <f t="shared" si="4"/>
        <v>500000</v>
      </c>
      <c r="J61" t="s">
        <v>39</v>
      </c>
      <c r="K61" s="86">
        <v>2626443.63</v>
      </c>
      <c r="L61" s="48"/>
      <c r="M61" s="86">
        <v>2448001</v>
      </c>
      <c r="O61" s="18">
        <v>569000</v>
      </c>
      <c r="P61" s="220" t="s">
        <v>333</v>
      </c>
      <c r="Q61" s="210"/>
      <c r="R61" s="215">
        <f t="shared" si="5"/>
        <v>6087.76</v>
      </c>
      <c r="S61" s="212"/>
      <c r="T61" s="215">
        <f t="shared" si="6"/>
        <v>0</v>
      </c>
    </row>
    <row r="62" spans="1:20" ht="13.5" customHeight="1">
      <c r="A62" s="18">
        <f t="shared" si="1"/>
        <v>9240</v>
      </c>
      <c r="B62" s="18">
        <f t="shared" si="2"/>
        <v>924000</v>
      </c>
      <c r="C62" t="s">
        <v>40</v>
      </c>
      <c r="D62" s="85" t="s">
        <v>44</v>
      </c>
      <c r="E62" s="86"/>
      <c r="F62" s="86"/>
      <c r="G62" s="87">
        <v>1388487</v>
      </c>
      <c r="H62" s="18">
        <f t="shared" si="3"/>
        <v>5020</v>
      </c>
      <c r="I62" s="18">
        <f t="shared" si="4"/>
        <v>502000</v>
      </c>
      <c r="J62" t="s">
        <v>38</v>
      </c>
      <c r="K62" s="86">
        <v>0</v>
      </c>
      <c r="L62" s="48"/>
      <c r="M62" s="86">
        <v>853980</v>
      </c>
      <c r="O62" s="18">
        <v>570000</v>
      </c>
      <c r="P62" s="220" t="s">
        <v>87</v>
      </c>
      <c r="Q62" s="210"/>
      <c r="R62" s="215">
        <f t="shared" si="5"/>
        <v>429790.11</v>
      </c>
      <c r="S62" s="212"/>
      <c r="T62" s="215">
        <f t="shared" si="6"/>
        <v>732956</v>
      </c>
    </row>
    <row r="63" spans="1:20" ht="13.5" customHeight="1">
      <c r="A63" s="18">
        <f t="shared" si="1"/>
        <v>9240</v>
      </c>
      <c r="B63" s="18">
        <f t="shared" si="2"/>
        <v>924001</v>
      </c>
      <c r="C63" t="s">
        <v>40</v>
      </c>
      <c r="D63" s="85" t="s">
        <v>58</v>
      </c>
      <c r="E63" s="86">
        <v>2482681.2000000002</v>
      </c>
      <c r="F63" s="86"/>
      <c r="G63" s="87">
        <v>1886168</v>
      </c>
      <c r="H63" s="18">
        <f t="shared" si="3"/>
        <v>5050</v>
      </c>
      <c r="I63" s="18">
        <f t="shared" si="4"/>
        <v>505000</v>
      </c>
      <c r="J63" t="s">
        <v>37</v>
      </c>
      <c r="K63" s="86">
        <v>200767.53</v>
      </c>
      <c r="L63" s="48"/>
      <c r="M63" s="86">
        <v>340382</v>
      </c>
      <c r="O63" s="18">
        <v>571000</v>
      </c>
      <c r="P63" s="220" t="s">
        <v>355</v>
      </c>
      <c r="Q63" s="210"/>
      <c r="R63" s="215">
        <f t="shared" si="5"/>
        <v>99357.81</v>
      </c>
      <c r="S63" s="212"/>
      <c r="T63" s="215">
        <f t="shared" si="6"/>
        <v>109678</v>
      </c>
    </row>
    <row r="64" spans="1:20">
      <c r="A64" s="18">
        <f t="shared" si="1"/>
        <v>9250</v>
      </c>
      <c r="B64" s="18">
        <f t="shared" si="2"/>
        <v>925000</v>
      </c>
      <c r="C64" t="s">
        <v>40</v>
      </c>
      <c r="D64" s="85" t="s">
        <v>52</v>
      </c>
      <c r="E64" s="86"/>
      <c r="F64" s="86"/>
      <c r="G64" s="87">
        <v>49</v>
      </c>
      <c r="H64" s="18">
        <f t="shared" si="3"/>
        <v>5060</v>
      </c>
      <c r="I64" s="18">
        <f t="shared" si="4"/>
        <v>506000</v>
      </c>
      <c r="J64" t="s">
        <v>36</v>
      </c>
      <c r="K64" s="86">
        <v>6281241.9799999995</v>
      </c>
      <c r="L64" s="48"/>
      <c r="M64" s="86">
        <v>7783632</v>
      </c>
      <c r="O64" s="18">
        <v>572000</v>
      </c>
      <c r="P64" s="220" t="s">
        <v>356</v>
      </c>
      <c r="Q64" s="210"/>
      <c r="R64" s="215">
        <f t="shared" si="5"/>
        <v>23631.73</v>
      </c>
      <c r="S64" s="212"/>
      <c r="T64" s="215">
        <f t="shared" si="6"/>
        <v>11918</v>
      </c>
    </row>
    <row r="65" spans="1:20">
      <c r="A65" s="18">
        <f t="shared" si="1"/>
        <v>9250</v>
      </c>
      <c r="B65" s="18">
        <f t="shared" si="2"/>
        <v>925001</v>
      </c>
      <c r="C65" t="s">
        <v>40</v>
      </c>
      <c r="D65" s="85" t="s">
        <v>57</v>
      </c>
      <c r="E65" s="86">
        <v>111855.32</v>
      </c>
      <c r="F65" s="86"/>
      <c r="G65" s="87">
        <v>63000</v>
      </c>
      <c r="H65" s="18">
        <v>5080</v>
      </c>
      <c r="I65" s="18">
        <v>508000</v>
      </c>
      <c r="J65" t="s">
        <v>813</v>
      </c>
      <c r="K65" s="86">
        <v>73.73</v>
      </c>
      <c r="L65" s="48"/>
      <c r="M65" s="86">
        <v>0</v>
      </c>
      <c r="O65" s="18">
        <v>573000</v>
      </c>
      <c r="P65" s="220" t="s">
        <v>357</v>
      </c>
      <c r="Q65" s="210"/>
      <c r="R65" s="215" t="str">
        <f t="shared" si="5"/>
        <v/>
      </c>
      <c r="S65" s="212"/>
      <c r="T65" s="215" t="str">
        <f t="shared" si="6"/>
        <v/>
      </c>
    </row>
    <row r="66" spans="1:20">
      <c r="A66" s="18">
        <f t="shared" si="1"/>
        <v>9260</v>
      </c>
      <c r="B66" s="18">
        <f t="shared" si="2"/>
        <v>926000</v>
      </c>
      <c r="C66" t="s">
        <v>40</v>
      </c>
      <c r="D66" s="85" t="s">
        <v>43</v>
      </c>
      <c r="E66" s="86">
        <v>26972524.229999997</v>
      </c>
      <c r="F66" s="86"/>
      <c r="G66" s="87">
        <v>35626436</v>
      </c>
      <c r="H66" s="18">
        <f t="shared" si="3"/>
        <v>5380</v>
      </c>
      <c r="I66" s="18">
        <f t="shared" si="4"/>
        <v>538000</v>
      </c>
      <c r="J66" t="s">
        <v>35</v>
      </c>
      <c r="K66" s="86">
        <v>16694.239999999998</v>
      </c>
      <c r="L66" s="48"/>
      <c r="M66" s="86">
        <v>2804</v>
      </c>
      <c r="P66" s="211" t="s">
        <v>358</v>
      </c>
      <c r="Q66" s="210"/>
      <c r="R66" s="215" t="str">
        <f t="shared" si="5"/>
        <v/>
      </c>
      <c r="S66" s="212"/>
      <c r="T66" s="215" t="str">
        <f t="shared" si="6"/>
        <v/>
      </c>
    </row>
    <row r="67" spans="1:20">
      <c r="A67" s="18">
        <f t="shared" si="1"/>
        <v>9280</v>
      </c>
      <c r="B67" s="18">
        <f t="shared" si="2"/>
        <v>928000</v>
      </c>
      <c r="C67" t="s">
        <v>40</v>
      </c>
      <c r="D67" s="85" t="s">
        <v>51</v>
      </c>
      <c r="E67" s="86"/>
      <c r="F67" s="86"/>
      <c r="G67" s="87">
        <v>14047</v>
      </c>
      <c r="H67" s="18">
        <f t="shared" si="3"/>
        <v>5460</v>
      </c>
      <c r="I67" s="18">
        <f t="shared" si="4"/>
        <v>546000</v>
      </c>
      <c r="J67" t="s">
        <v>34</v>
      </c>
      <c r="K67" s="86">
        <v>1049650.3600000001</v>
      </c>
      <c r="L67" s="48"/>
      <c r="M67" s="86">
        <v>1938427</v>
      </c>
      <c r="P67" s="213" t="s">
        <v>327</v>
      </c>
      <c r="Q67" s="210"/>
      <c r="R67" s="215" t="str">
        <f t="shared" si="5"/>
        <v/>
      </c>
      <c r="S67" s="212"/>
      <c r="T67" s="215" t="str">
        <f t="shared" si="6"/>
        <v/>
      </c>
    </row>
    <row r="68" spans="1:20">
      <c r="A68" s="18">
        <f t="shared" si="1"/>
        <v>9280</v>
      </c>
      <c r="B68" s="18">
        <f t="shared" si="2"/>
        <v>928001</v>
      </c>
      <c r="C68" t="s">
        <v>40</v>
      </c>
      <c r="D68" s="85" t="s">
        <v>56</v>
      </c>
      <c r="E68" s="86">
        <v>232023.54</v>
      </c>
      <c r="F68" s="86"/>
      <c r="G68" s="87">
        <v>200000</v>
      </c>
      <c r="H68" s="18">
        <f t="shared" si="3"/>
        <v>5480</v>
      </c>
      <c r="I68" s="18">
        <f t="shared" si="4"/>
        <v>548000</v>
      </c>
      <c r="J68" t="s">
        <v>379</v>
      </c>
      <c r="K68" s="86">
        <v>0</v>
      </c>
      <c r="L68" s="48"/>
      <c r="M68" s="86">
        <v>475931</v>
      </c>
      <c r="O68" s="18">
        <v>580000</v>
      </c>
      <c r="P68" s="220" t="s">
        <v>328</v>
      </c>
      <c r="Q68" s="210"/>
      <c r="R68" s="215">
        <f t="shared" si="5"/>
        <v>3614918.08</v>
      </c>
      <c r="S68" s="212"/>
      <c r="T68" s="215">
        <f t="shared" si="6"/>
        <v>3963190</v>
      </c>
    </row>
    <row r="69" spans="1:20">
      <c r="A69" s="18">
        <v>9300</v>
      </c>
      <c r="B69" s="18">
        <v>930000</v>
      </c>
      <c r="C69" t="s">
        <v>40</v>
      </c>
      <c r="D69" s="85" t="s">
        <v>811</v>
      </c>
      <c r="E69" s="86">
        <v>220282.99000000002</v>
      </c>
      <c r="F69" s="86"/>
      <c r="G69" s="87"/>
      <c r="H69" s="18">
        <f t="shared" si="3"/>
        <v>5490</v>
      </c>
      <c r="I69" s="18">
        <f t="shared" si="4"/>
        <v>549000</v>
      </c>
      <c r="J69" t="s">
        <v>33</v>
      </c>
      <c r="K69" s="86">
        <v>16866.53</v>
      </c>
      <c r="L69" s="48"/>
      <c r="M69" s="86">
        <v>8538</v>
      </c>
      <c r="O69" s="18">
        <v>581000</v>
      </c>
      <c r="P69" s="220" t="s">
        <v>351</v>
      </c>
      <c r="Q69" s="210"/>
      <c r="R69" s="215">
        <f t="shared" si="5"/>
        <v>1807251.07</v>
      </c>
      <c r="S69" s="212"/>
      <c r="T69" s="215">
        <f t="shared" si="6"/>
        <v>2052178</v>
      </c>
    </row>
    <row r="70" spans="1:20">
      <c r="A70" s="18">
        <v>9301</v>
      </c>
      <c r="B70" s="18">
        <v>930100</v>
      </c>
      <c r="C70" t="s">
        <v>40</v>
      </c>
      <c r="D70" s="85" t="s">
        <v>812</v>
      </c>
      <c r="E70" s="86">
        <v>195338.3</v>
      </c>
      <c r="F70" s="86"/>
      <c r="G70" s="87"/>
      <c r="J70"/>
      <c r="K70" s="48"/>
      <c r="L70" s="48"/>
      <c r="M70" s="48"/>
      <c r="O70" s="18">
        <v>582000</v>
      </c>
      <c r="P70" s="220" t="s">
        <v>352</v>
      </c>
      <c r="Q70" s="210"/>
      <c r="R70" s="215">
        <f t="shared" si="5"/>
        <v>752.67</v>
      </c>
      <c r="S70" s="212"/>
      <c r="T70" s="215">
        <f t="shared" si="6"/>
        <v>0</v>
      </c>
    </row>
    <row r="71" spans="1:20">
      <c r="A71" s="18">
        <f t="shared" si="1"/>
        <v>9302</v>
      </c>
      <c r="B71" s="18">
        <f t="shared" si="2"/>
        <v>930200</v>
      </c>
      <c r="C71" t="s">
        <v>40</v>
      </c>
      <c r="D71" s="85" t="s">
        <v>50</v>
      </c>
      <c r="E71" s="86">
        <v>0</v>
      </c>
      <c r="F71" s="86"/>
      <c r="G71" s="87">
        <v>12728</v>
      </c>
      <c r="J71"/>
      <c r="K71" s="48"/>
      <c r="L71" s="48"/>
      <c r="M71" s="48"/>
      <c r="O71" s="18">
        <v>583000</v>
      </c>
      <c r="P71" s="220" t="s">
        <v>353</v>
      </c>
      <c r="Q71" s="210"/>
      <c r="R71" s="215">
        <f t="shared" si="5"/>
        <v>45990.400000000001</v>
      </c>
      <c r="S71" s="212"/>
      <c r="T71" s="215">
        <f t="shared" si="6"/>
        <v>96299</v>
      </c>
    </row>
    <row r="72" spans="1:20">
      <c r="A72" s="18">
        <f t="shared" si="1"/>
        <v>9302</v>
      </c>
      <c r="B72" s="18">
        <f t="shared" si="2"/>
        <v>930201</v>
      </c>
      <c r="C72" t="s">
        <v>40</v>
      </c>
      <c r="D72" s="85" t="s">
        <v>55</v>
      </c>
      <c r="E72" s="86">
        <v>0</v>
      </c>
      <c r="F72" s="86"/>
      <c r="G72" s="87">
        <v>285800</v>
      </c>
      <c r="J72"/>
      <c r="K72" s="48"/>
      <c r="L72" s="48"/>
      <c r="M72" s="48"/>
      <c r="O72" s="18">
        <v>584000</v>
      </c>
      <c r="P72" s="220" t="s">
        <v>359</v>
      </c>
      <c r="Q72" s="210"/>
      <c r="R72" s="215">
        <f t="shared" si="5"/>
        <v>1405278.33</v>
      </c>
      <c r="S72" s="212"/>
      <c r="T72" s="215">
        <f t="shared" si="6"/>
        <v>1524017</v>
      </c>
    </row>
    <row r="73" spans="1:20" ht="15.75" thickBot="1">
      <c r="A73" s="18">
        <f t="shared" si="1"/>
        <v>9320</v>
      </c>
      <c r="B73" s="18">
        <f t="shared" si="2"/>
        <v>932000</v>
      </c>
      <c r="C73" t="s">
        <v>40</v>
      </c>
      <c r="D73" s="88" t="s">
        <v>42</v>
      </c>
      <c r="E73" s="89">
        <v>3697315.1900000013</v>
      </c>
      <c r="F73" s="89"/>
      <c r="G73" s="90">
        <v>4913561</v>
      </c>
      <c r="J73"/>
      <c r="K73" s="48"/>
      <c r="L73" s="48"/>
      <c r="M73" s="48"/>
      <c r="O73" s="18">
        <v>585000</v>
      </c>
      <c r="P73" s="220" t="s">
        <v>360</v>
      </c>
      <c r="Q73" s="210"/>
      <c r="R73" s="215">
        <f t="shared" si="5"/>
        <v>19121.36</v>
      </c>
      <c r="S73" s="212"/>
      <c r="T73" s="215">
        <f t="shared" si="6"/>
        <v>1907</v>
      </c>
    </row>
    <row r="74" spans="1:20">
      <c r="A74" s="18">
        <f t="shared" si="1"/>
        <v>9010</v>
      </c>
      <c r="B74" s="18">
        <f t="shared" si="2"/>
        <v>901000</v>
      </c>
      <c r="C74" t="s">
        <v>40</v>
      </c>
      <c r="D74" t="s">
        <v>2</v>
      </c>
      <c r="E74" s="86">
        <v>85424.809999999983</v>
      </c>
      <c r="F74" s="86"/>
      <c r="G74" s="86">
        <v>85124</v>
      </c>
      <c r="J74" s="46"/>
      <c r="K74" s="49">
        <f>SUM(K12:K73)</f>
        <v>118528261.05</v>
      </c>
      <c r="L74" s="49"/>
      <c r="M74" s="49">
        <f>SUM(M12:M69)</f>
        <v>134876161</v>
      </c>
      <c r="O74" s="18">
        <v>585001</v>
      </c>
      <c r="P74" s="220" t="s">
        <v>361</v>
      </c>
      <c r="Q74" s="210"/>
      <c r="R74" s="215" t="str">
        <f t="shared" si="5"/>
        <v/>
      </c>
      <c r="S74" s="212"/>
      <c r="T74" s="215" t="str">
        <f t="shared" si="6"/>
        <v/>
      </c>
    </row>
    <row r="75" spans="1:20">
      <c r="A75" s="18">
        <f t="shared" si="1"/>
        <v>9020</v>
      </c>
      <c r="B75" s="18">
        <f t="shared" si="2"/>
        <v>902000</v>
      </c>
      <c r="C75" t="s">
        <v>40</v>
      </c>
      <c r="D75" t="s">
        <v>1</v>
      </c>
      <c r="E75" s="86">
        <v>1105034.6900000002</v>
      </c>
      <c r="F75" s="48"/>
      <c r="G75" s="86">
        <v>1261173</v>
      </c>
      <c r="J75" s="18" t="s">
        <v>609</v>
      </c>
      <c r="K75" s="92">
        <f>SUM(K12:K50,K58:K69)</f>
        <v>60289715.24000001</v>
      </c>
      <c r="L75" s="92">
        <f t="shared" ref="L75" si="7">SUM(L12:L47,L61:L69)</f>
        <v>0</v>
      </c>
      <c r="M75" s="92">
        <f>SUM(M12:M50,M58:M69)</f>
        <v>66031388</v>
      </c>
      <c r="O75" s="18">
        <v>586000</v>
      </c>
      <c r="P75" s="220" t="s">
        <v>362</v>
      </c>
      <c r="Q75" s="210"/>
      <c r="R75" s="215">
        <f t="shared" si="5"/>
        <v>453639.81</v>
      </c>
      <c r="S75" s="212"/>
      <c r="T75" s="215">
        <f t="shared" si="6"/>
        <v>557332</v>
      </c>
    </row>
    <row r="76" spans="1:20">
      <c r="A76" s="18">
        <f t="shared" si="1"/>
        <v>9030</v>
      </c>
      <c r="B76" s="18">
        <f t="shared" si="2"/>
        <v>903000</v>
      </c>
      <c r="C76" t="s">
        <v>40</v>
      </c>
      <c r="D76" t="s">
        <v>0</v>
      </c>
      <c r="E76" s="86">
        <v>7998971.1800000016</v>
      </c>
      <c r="F76" s="48"/>
      <c r="G76" s="86">
        <v>8413258</v>
      </c>
      <c r="J76" s="18" t="s">
        <v>610</v>
      </c>
      <c r="K76" s="92">
        <f>SUM(K51:K57)</f>
        <v>58238545.809999995</v>
      </c>
      <c r="L76" s="92">
        <f t="shared" ref="L76" si="8">SUM(L48:L60)</f>
        <v>0</v>
      </c>
      <c r="M76" s="92">
        <f>SUM(M51:M57)</f>
        <v>68844773</v>
      </c>
      <c r="O76" s="18">
        <v>587000</v>
      </c>
      <c r="P76" s="220" t="s">
        <v>363</v>
      </c>
      <c r="Q76" s="210"/>
      <c r="R76" s="215" t="str">
        <f t="shared" si="5"/>
        <v/>
      </c>
      <c r="S76" s="212"/>
      <c r="T76" s="215" t="str">
        <f t="shared" ref="T76:T100" si="9">IFERROR(VLOOKUP($O76,$I$12:$M$73,5,FALSE),"")</f>
        <v/>
      </c>
    </row>
    <row r="77" spans="1:20">
      <c r="A77" s="18">
        <f t="shared" si="1"/>
        <v>9040</v>
      </c>
      <c r="B77" s="18">
        <f t="shared" si="2"/>
        <v>904000</v>
      </c>
      <c r="C77" t="s">
        <v>40</v>
      </c>
      <c r="D77" t="s">
        <v>49</v>
      </c>
      <c r="E77" s="86">
        <v>0</v>
      </c>
      <c r="F77" s="48"/>
      <c r="G77" s="86">
        <v>7030</v>
      </c>
      <c r="J77" s="18" t="s">
        <v>611</v>
      </c>
      <c r="K77" s="92">
        <f>SUM(K75:K76)-K74</f>
        <v>0</v>
      </c>
      <c r="L77" s="92">
        <f t="shared" ref="L77:M77" si="10">SUM(L75:L76)-L74</f>
        <v>0</v>
      </c>
      <c r="M77" s="92">
        <f t="shared" si="10"/>
        <v>0</v>
      </c>
      <c r="O77" s="18">
        <v>588000</v>
      </c>
      <c r="P77" s="220" t="s">
        <v>364</v>
      </c>
      <c r="Q77" s="210"/>
      <c r="R77" s="215">
        <f t="shared" ref="R77:R100" si="11">IFERROR(VLOOKUP($O77,$I$12:$M$73,3,FALSE),"")</f>
        <v>6503437.9400000004</v>
      </c>
      <c r="S77" s="212"/>
      <c r="T77" s="215">
        <f t="shared" si="9"/>
        <v>7772931</v>
      </c>
    </row>
    <row r="78" spans="1:20">
      <c r="A78" s="18">
        <f t="shared" si="1"/>
        <v>9040</v>
      </c>
      <c r="B78" s="18">
        <f t="shared" si="2"/>
        <v>904001</v>
      </c>
      <c r="C78" t="s">
        <v>40</v>
      </c>
      <c r="D78" t="s">
        <v>320</v>
      </c>
      <c r="E78" s="86">
        <v>5000791.13</v>
      </c>
      <c r="F78" s="48"/>
      <c r="G78" s="86">
        <v>1683243</v>
      </c>
      <c r="P78" s="213" t="s">
        <v>332</v>
      </c>
      <c r="Q78" s="210"/>
      <c r="R78" s="215" t="str">
        <f t="shared" si="11"/>
        <v/>
      </c>
      <c r="S78" s="212"/>
      <c r="T78" s="215" t="str">
        <f t="shared" si="9"/>
        <v/>
      </c>
    </row>
    <row r="79" spans="1:20">
      <c r="A79" s="18">
        <f t="shared" si="1"/>
        <v>5000</v>
      </c>
      <c r="B79" s="18">
        <f t="shared" si="2"/>
        <v>500000</v>
      </c>
      <c r="C79" t="s">
        <v>40</v>
      </c>
      <c r="D79" t="s">
        <v>39</v>
      </c>
      <c r="E79" s="86">
        <v>2762075.6999999997</v>
      </c>
      <c r="F79" s="48"/>
      <c r="G79" s="86">
        <v>2887701</v>
      </c>
      <c r="O79" s="18">
        <v>590000</v>
      </c>
      <c r="P79" s="220" t="s">
        <v>328</v>
      </c>
      <c r="Q79" s="210"/>
      <c r="R79" s="215">
        <f t="shared" si="11"/>
        <v>1542900.6</v>
      </c>
      <c r="S79" s="212"/>
      <c r="T79" s="215">
        <f t="shared" si="9"/>
        <v>1674984</v>
      </c>
    </row>
    <row r="80" spans="1:20">
      <c r="A80" s="18">
        <f t="shared" si="1"/>
        <v>5020</v>
      </c>
      <c r="B80" s="18">
        <f t="shared" si="2"/>
        <v>502000</v>
      </c>
      <c r="C80" t="s">
        <v>40</v>
      </c>
      <c r="D80" t="s">
        <v>38</v>
      </c>
      <c r="E80" s="86">
        <v>0</v>
      </c>
      <c r="F80" s="48"/>
      <c r="G80" s="86">
        <v>853980</v>
      </c>
      <c r="O80" s="18">
        <v>591000</v>
      </c>
      <c r="P80" s="220" t="s">
        <v>333</v>
      </c>
      <c r="Q80" s="210"/>
      <c r="R80" s="215" t="str">
        <f t="shared" si="11"/>
        <v/>
      </c>
      <c r="S80" s="212"/>
      <c r="T80" s="215" t="str">
        <f t="shared" si="9"/>
        <v/>
      </c>
    </row>
    <row r="81" spans="1:20">
      <c r="A81" s="18">
        <f t="shared" si="1"/>
        <v>5050</v>
      </c>
      <c r="B81" s="18">
        <f t="shared" si="2"/>
        <v>505000</v>
      </c>
      <c r="C81" t="s">
        <v>40</v>
      </c>
      <c r="D81" t="s">
        <v>37</v>
      </c>
      <c r="E81" s="86">
        <v>211453.21</v>
      </c>
      <c r="F81" s="48"/>
      <c r="G81" s="86">
        <v>509028</v>
      </c>
      <c r="O81" s="18">
        <v>592000</v>
      </c>
      <c r="P81" s="220" t="s">
        <v>87</v>
      </c>
      <c r="Q81" s="210"/>
      <c r="R81" s="215">
        <f t="shared" si="11"/>
        <v>1931104.95</v>
      </c>
      <c r="S81" s="212"/>
      <c r="T81" s="215">
        <f t="shared" si="9"/>
        <v>1805878</v>
      </c>
    </row>
    <row r="82" spans="1:20">
      <c r="A82" s="18">
        <f t="shared" ref="A82:A86" si="12">VALUE(LEFT(D82,4))</f>
        <v>5060</v>
      </c>
      <c r="B82" s="18">
        <f t="shared" si="2"/>
        <v>506000</v>
      </c>
      <c r="C82" t="s">
        <v>40</v>
      </c>
      <c r="D82" t="s">
        <v>36</v>
      </c>
      <c r="E82" s="86">
        <v>11040205.809999999</v>
      </c>
      <c r="F82" s="48"/>
      <c r="G82" s="86">
        <v>12141983</v>
      </c>
      <c r="O82" s="18">
        <v>593000</v>
      </c>
      <c r="P82" s="220" t="s">
        <v>355</v>
      </c>
      <c r="Q82" s="210"/>
      <c r="R82" s="215">
        <f t="shared" si="11"/>
        <v>3646750.84</v>
      </c>
      <c r="S82" s="212"/>
      <c r="T82" s="215">
        <f t="shared" si="9"/>
        <v>3493602</v>
      </c>
    </row>
    <row r="83" spans="1:20">
      <c r="A83" s="18">
        <v>5080</v>
      </c>
      <c r="B83" s="18">
        <v>508000</v>
      </c>
      <c r="C83" t="s">
        <v>40</v>
      </c>
      <c r="D83" t="s">
        <v>813</v>
      </c>
      <c r="E83" s="86">
        <v>73.73</v>
      </c>
      <c r="F83" s="48"/>
      <c r="G83" s="86">
        <v>0</v>
      </c>
      <c r="O83" s="18">
        <v>594000</v>
      </c>
      <c r="P83" s="220" t="s">
        <v>356</v>
      </c>
      <c r="Q83" s="210"/>
      <c r="R83" s="215">
        <f t="shared" si="11"/>
        <v>5040336.3099999996</v>
      </c>
      <c r="S83" s="212"/>
      <c r="T83" s="215">
        <f t="shared" si="9"/>
        <v>4768579</v>
      </c>
    </row>
    <row r="84" spans="1:20">
      <c r="A84" s="18">
        <f t="shared" si="12"/>
        <v>5460</v>
      </c>
      <c r="B84" s="18">
        <f t="shared" si="2"/>
        <v>546000</v>
      </c>
      <c r="C84" t="s">
        <v>40</v>
      </c>
      <c r="D84" t="s">
        <v>34</v>
      </c>
      <c r="E84" s="86">
        <v>1087372.8000000003</v>
      </c>
      <c r="F84" s="48"/>
      <c r="G84" s="86">
        <v>3035926</v>
      </c>
      <c r="O84" s="18">
        <v>595000</v>
      </c>
      <c r="P84" s="220" t="s">
        <v>96</v>
      </c>
      <c r="Q84" s="210"/>
      <c r="R84" s="215">
        <f t="shared" si="11"/>
        <v>466999.38999999996</v>
      </c>
      <c r="S84" s="212"/>
      <c r="T84" s="215">
        <f t="shared" si="9"/>
        <v>489129</v>
      </c>
    </row>
    <row r="85" spans="1:20">
      <c r="A85" s="18">
        <f t="shared" si="12"/>
        <v>5480</v>
      </c>
      <c r="B85" s="18">
        <f t="shared" ref="B85:B86" si="13">VALUE(LEFT(D85,6))</f>
        <v>548000</v>
      </c>
      <c r="C85" t="s">
        <v>40</v>
      </c>
      <c r="D85" t="s">
        <v>379</v>
      </c>
      <c r="E85" s="86">
        <v>0</v>
      </c>
      <c r="F85" s="48"/>
      <c r="G85" s="86">
        <v>1008207</v>
      </c>
      <c r="J85" s="92"/>
      <c r="O85" s="18">
        <v>596000</v>
      </c>
      <c r="P85" s="220" t="s">
        <v>233</v>
      </c>
      <c r="Q85" s="210"/>
      <c r="R85" s="215">
        <f t="shared" si="11"/>
        <v>84578.43</v>
      </c>
      <c r="S85" s="212"/>
      <c r="T85" s="215">
        <f t="shared" si="9"/>
        <v>4552</v>
      </c>
    </row>
    <row r="86" spans="1:20">
      <c r="A86" s="18">
        <f t="shared" si="12"/>
        <v>5490</v>
      </c>
      <c r="B86" s="18">
        <f t="shared" si="13"/>
        <v>549000</v>
      </c>
      <c r="C86" t="s">
        <v>40</v>
      </c>
      <c r="D86" t="s">
        <v>33</v>
      </c>
      <c r="E86" s="86">
        <v>107334.82999999999</v>
      </c>
      <c r="F86" s="48"/>
      <c r="G86" s="86">
        <v>125638</v>
      </c>
      <c r="O86" s="18">
        <v>596001</v>
      </c>
      <c r="P86" s="220" t="s">
        <v>365</v>
      </c>
      <c r="Q86" s="210"/>
      <c r="R86" s="215" t="str">
        <f t="shared" si="11"/>
        <v/>
      </c>
      <c r="S86" s="212"/>
      <c r="T86" s="215" t="str">
        <f t="shared" si="9"/>
        <v/>
      </c>
    </row>
    <row r="87" spans="1:20">
      <c r="A87" s="18">
        <v>5380</v>
      </c>
      <c r="B87" s="18">
        <v>538000</v>
      </c>
      <c r="C87" t="s">
        <v>40</v>
      </c>
      <c r="D87" t="s">
        <v>814</v>
      </c>
      <c r="E87" s="86">
        <v>16694.239999999998</v>
      </c>
      <c r="F87" s="48"/>
      <c r="G87" s="86">
        <v>2804</v>
      </c>
      <c r="O87" s="18">
        <v>597000</v>
      </c>
      <c r="P87" s="220" t="s">
        <v>99</v>
      </c>
      <c r="Q87" s="210"/>
      <c r="R87" s="215">
        <f t="shared" si="11"/>
        <v>83262.8</v>
      </c>
      <c r="S87" s="212"/>
      <c r="T87" s="215">
        <f t="shared" si="9"/>
        <v>80708</v>
      </c>
    </row>
    <row r="88" spans="1:20">
      <c r="C88"/>
      <c r="D88"/>
      <c r="E88" s="86"/>
      <c r="F88" s="48"/>
      <c r="G88" s="86"/>
      <c r="O88" s="18">
        <v>598000</v>
      </c>
      <c r="P88" s="220" t="s">
        <v>366</v>
      </c>
      <c r="Q88" s="210"/>
      <c r="R88" s="215">
        <f t="shared" si="11"/>
        <v>1493.48</v>
      </c>
      <c r="S88" s="212"/>
      <c r="T88" s="215">
        <f t="shared" si="9"/>
        <v>0</v>
      </c>
    </row>
    <row r="89" spans="1:20">
      <c r="C89"/>
      <c r="D89"/>
      <c r="E89" s="86"/>
      <c r="F89" s="48"/>
      <c r="G89" s="86"/>
      <c r="P89" s="211" t="s">
        <v>367</v>
      </c>
      <c r="Q89" s="210"/>
      <c r="R89" s="215" t="str">
        <f t="shared" si="11"/>
        <v/>
      </c>
      <c r="S89" s="212"/>
      <c r="T89" s="215" t="str">
        <f t="shared" si="9"/>
        <v/>
      </c>
    </row>
    <row r="90" spans="1:20">
      <c r="C90"/>
      <c r="D90"/>
      <c r="E90" s="86"/>
      <c r="F90" s="48"/>
      <c r="G90" s="86"/>
      <c r="P90" s="213" t="s">
        <v>327</v>
      </c>
      <c r="Q90" s="210"/>
      <c r="R90" s="215" t="str">
        <f t="shared" si="11"/>
        <v/>
      </c>
      <c r="S90" s="212"/>
      <c r="T90" s="215" t="str">
        <f t="shared" si="9"/>
        <v/>
      </c>
    </row>
    <row r="91" spans="1:20">
      <c r="C91"/>
      <c r="D91"/>
      <c r="E91" s="86">
        <v>194195389.10000002</v>
      </c>
      <c r="F91" s="48"/>
      <c r="G91" s="48">
        <v>199367330</v>
      </c>
      <c r="O91" s="18">
        <v>901000</v>
      </c>
      <c r="P91" s="220" t="s">
        <v>368</v>
      </c>
      <c r="Q91" s="210"/>
      <c r="R91" s="215">
        <f t="shared" si="11"/>
        <v>83711.01999999999</v>
      </c>
      <c r="S91" s="212"/>
      <c r="T91" s="215">
        <f t="shared" si="9"/>
        <v>85124</v>
      </c>
    </row>
    <row r="92" spans="1:20">
      <c r="D92" s="18" t="s">
        <v>609</v>
      </c>
      <c r="E92" s="92">
        <f>SUM(E12:E56,E74:E87)</f>
        <v>117122853.14</v>
      </c>
      <c r="F92" s="92">
        <f t="shared" ref="F92:G92" si="14">SUM(F12:F56,F74:F87)</f>
        <v>0</v>
      </c>
      <c r="G92" s="92">
        <f t="shared" si="14"/>
        <v>105500933</v>
      </c>
      <c r="O92" s="18">
        <v>902000</v>
      </c>
      <c r="P92" s="220" t="s">
        <v>369</v>
      </c>
      <c r="Q92" s="210"/>
      <c r="R92" s="215">
        <f t="shared" si="11"/>
        <v>2538.17</v>
      </c>
      <c r="S92" s="212"/>
      <c r="T92" s="215">
        <f t="shared" si="9"/>
        <v>3653</v>
      </c>
    </row>
    <row r="93" spans="1:20">
      <c r="D93" s="18" t="s">
        <v>610</v>
      </c>
      <c r="E93" s="92">
        <f>SUM(E57:E73)</f>
        <v>77072535.959999993</v>
      </c>
      <c r="F93" s="92">
        <f t="shared" ref="F93:G93" si="15">SUM(F57:F73)</f>
        <v>0</v>
      </c>
      <c r="G93" s="92">
        <f t="shared" si="15"/>
        <v>93866397</v>
      </c>
      <c r="O93" s="18">
        <v>903000</v>
      </c>
      <c r="P93" s="220" t="s">
        <v>370</v>
      </c>
      <c r="Q93" s="210"/>
      <c r="R93" s="215">
        <f t="shared" si="11"/>
        <v>7149563.46</v>
      </c>
      <c r="S93" s="212"/>
      <c r="T93" s="215">
        <f t="shared" si="9"/>
        <v>7317137</v>
      </c>
    </row>
    <row r="94" spans="1:20">
      <c r="D94" s="18" t="s">
        <v>611</v>
      </c>
      <c r="E94" s="92">
        <f>SUM(E92:E93)-E91</f>
        <v>0</v>
      </c>
      <c r="F94" s="92">
        <f t="shared" ref="F94:G94" si="16">SUM(F92:F93)-F91</f>
        <v>0</v>
      </c>
      <c r="G94" s="92">
        <f t="shared" si="16"/>
        <v>0</v>
      </c>
      <c r="O94" s="18">
        <v>904000</v>
      </c>
      <c r="P94" s="220" t="s">
        <v>322</v>
      </c>
      <c r="Q94" s="210"/>
      <c r="R94" s="215" t="str">
        <f t="shared" si="11"/>
        <v/>
      </c>
      <c r="S94" s="212"/>
      <c r="T94" s="215" t="str">
        <f t="shared" si="9"/>
        <v/>
      </c>
    </row>
    <row r="95" spans="1:20">
      <c r="O95" s="18">
        <v>905000</v>
      </c>
      <c r="P95" s="220" t="s">
        <v>371</v>
      </c>
      <c r="Q95" s="210"/>
      <c r="R95" s="215" t="str">
        <f t="shared" si="11"/>
        <v/>
      </c>
      <c r="S95" s="212"/>
      <c r="T95" s="215" t="str">
        <f t="shared" si="9"/>
        <v/>
      </c>
    </row>
    <row r="96" spans="1:20">
      <c r="P96" s="211" t="s">
        <v>372</v>
      </c>
      <c r="Q96" s="210"/>
      <c r="R96" s="215" t="str">
        <f t="shared" si="11"/>
        <v/>
      </c>
      <c r="S96" s="212"/>
      <c r="T96" s="215" t="str">
        <f t="shared" si="9"/>
        <v/>
      </c>
    </row>
    <row r="97" spans="5:20">
      <c r="E97" s="92"/>
      <c r="P97" s="213" t="s">
        <v>327</v>
      </c>
      <c r="Q97" s="210"/>
      <c r="R97" s="215" t="str">
        <f t="shared" si="11"/>
        <v/>
      </c>
      <c r="S97" s="212"/>
      <c r="T97" s="215" t="str">
        <f t="shared" si="9"/>
        <v/>
      </c>
    </row>
    <row r="98" spans="5:20">
      <c r="O98" s="18">
        <v>908000</v>
      </c>
      <c r="P98" s="220" t="s">
        <v>373</v>
      </c>
      <c r="Q98" s="210"/>
      <c r="R98" s="215">
        <f t="shared" si="11"/>
        <v>0</v>
      </c>
      <c r="S98" s="212"/>
      <c r="T98" s="215">
        <f t="shared" si="9"/>
        <v>366311</v>
      </c>
    </row>
    <row r="99" spans="5:20">
      <c r="O99" s="18">
        <v>908011</v>
      </c>
      <c r="P99" s="220" t="s">
        <v>374</v>
      </c>
      <c r="Q99" s="210"/>
      <c r="R99" s="215">
        <f t="shared" si="11"/>
        <v>1231695.7699999998</v>
      </c>
      <c r="S99" s="212"/>
      <c r="T99" s="215">
        <f t="shared" si="9"/>
        <v>729428</v>
      </c>
    </row>
    <row r="100" spans="5:20">
      <c r="E100" s="92"/>
      <c r="G100" s="175"/>
      <c r="O100" s="18">
        <v>909000</v>
      </c>
      <c r="P100" s="220" t="s">
        <v>375</v>
      </c>
      <c r="Q100" s="210"/>
      <c r="R100" s="216" t="str">
        <f t="shared" si="11"/>
        <v/>
      </c>
      <c r="S100" s="212"/>
      <c r="T100" s="216" t="str">
        <f t="shared" si="9"/>
        <v/>
      </c>
    </row>
    <row r="101" spans="5:20">
      <c r="G101" s="92"/>
      <c r="P101" s="210"/>
      <c r="Q101" s="210"/>
      <c r="R101" s="210"/>
      <c r="S101" s="212"/>
      <c r="T101" s="210"/>
    </row>
    <row r="102" spans="5:20" ht="15.75" thickBot="1">
      <c r="P102" s="211" t="s">
        <v>145</v>
      </c>
      <c r="Q102" s="210"/>
      <c r="R102" s="217">
        <f>SUM(R12:R100)</f>
        <v>60289715.240000002</v>
      </c>
      <c r="S102" s="212"/>
      <c r="T102" s="217">
        <f>SUM(T12:T100)</f>
        <v>66031388</v>
      </c>
    </row>
    <row r="103" spans="5:20" ht="15.75" thickTop="1">
      <c r="P103" s="210"/>
      <c r="Q103" s="218" t="s">
        <v>383</v>
      </c>
      <c r="R103" s="219" t="s">
        <v>749</v>
      </c>
      <c r="S103" s="212"/>
      <c r="T103" s="219" t="s">
        <v>384</v>
      </c>
    </row>
    <row r="105" spans="5:20">
      <c r="T105" s="91"/>
    </row>
    <row r="107" spans="5:20">
      <c r="R107" s="91"/>
    </row>
  </sheetData>
  <mergeCells count="8">
    <mergeCell ref="O9:R9"/>
    <mergeCell ref="C6:E7"/>
    <mergeCell ref="J6:K6"/>
    <mergeCell ref="J7:K7"/>
    <mergeCell ref="D8:G8"/>
    <mergeCell ref="J8:M8"/>
    <mergeCell ref="C9:G9"/>
    <mergeCell ref="J9:M9"/>
  </mergeCells>
  <pageMargins left="0.75" right="0.75" top="1" bottom="1" header="0.5" footer="0.5"/>
  <pageSetup orientation="portrait" r:id="rId1"/>
  <colBreaks count="1" manualBreakCount="1">
    <brk id="14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0C0"/>
  </sheetPr>
  <dimension ref="A1:I70"/>
  <sheetViews>
    <sheetView zoomScaleNormal="100" workbookViewId="0"/>
  </sheetViews>
  <sheetFormatPr defaultRowHeight="15"/>
  <cols>
    <col min="1" max="1" width="25.85546875" bestFit="1" customWidth="1"/>
    <col min="2" max="2" width="16.28515625" bestFit="1" customWidth="1"/>
    <col min="3" max="3" width="13.42578125" bestFit="1" customWidth="1"/>
    <col min="4" max="4" width="16.85546875" bestFit="1" customWidth="1"/>
    <col min="5" max="5" width="16" bestFit="1" customWidth="1"/>
    <col min="6" max="6" width="14.28515625" bestFit="1" customWidth="1"/>
    <col min="7" max="7" width="15" bestFit="1" customWidth="1"/>
    <col min="8" max="8" width="1.7109375" customWidth="1"/>
    <col min="9" max="9" width="13.28515625" customWidth="1"/>
  </cols>
  <sheetData>
    <row r="1" spans="1:6">
      <c r="A1" s="113" t="str">
        <f>TOC!A1</f>
        <v>Colorado Springs Utilities</v>
      </c>
      <c r="B1" s="93"/>
      <c r="C1" s="93"/>
      <c r="D1" s="93"/>
    </row>
    <row r="2" spans="1:6">
      <c r="A2" s="114" t="str">
        <f>TOC!A2</f>
        <v>2027 Transmission Formula Rate (TFR) Backup</v>
      </c>
      <c r="B2" s="93"/>
      <c r="C2" s="93"/>
      <c r="D2" s="93"/>
    </row>
    <row r="3" spans="1:6">
      <c r="A3" s="115"/>
      <c r="B3" s="93"/>
      <c r="C3" s="93"/>
      <c r="D3" s="93"/>
    </row>
    <row r="4" spans="1:6">
      <c r="A4" s="113" t="s">
        <v>493</v>
      </c>
      <c r="B4" s="93"/>
      <c r="C4" s="93"/>
      <c r="D4" s="93"/>
    </row>
    <row r="5" spans="1:6">
      <c r="A5" s="116" t="str">
        <f>UPPER(VLOOKUP(A$4,TOC!$A$7:$C$39,3,FALSE))</f>
        <v>ELECTRIC PLANT - SUMMARY</v>
      </c>
      <c r="B5" s="93"/>
      <c r="C5" s="93"/>
      <c r="D5" s="93"/>
    </row>
    <row r="6" spans="1:6">
      <c r="A6" s="113" t="s">
        <v>704</v>
      </c>
      <c r="B6" s="93"/>
      <c r="C6" s="93"/>
      <c r="D6" s="93"/>
    </row>
    <row r="8" spans="1:6">
      <c r="B8" s="72" t="s">
        <v>70</v>
      </c>
      <c r="C8" s="72" t="s">
        <v>138</v>
      </c>
      <c r="D8" s="72" t="s">
        <v>149</v>
      </c>
      <c r="E8" s="72" t="s">
        <v>150</v>
      </c>
      <c r="F8" s="72" t="s">
        <v>151</v>
      </c>
    </row>
    <row r="9" spans="1:6">
      <c r="B9" s="15">
        <v>303</v>
      </c>
      <c r="C9" s="12" t="s">
        <v>73</v>
      </c>
      <c r="D9" s="9">
        <f>'WP4 Elec Plant YE'!H10</f>
        <v>0</v>
      </c>
      <c r="E9" s="9">
        <f>'WP4 Elec Plant YE'!H67</f>
        <v>0</v>
      </c>
      <c r="F9" s="19">
        <f>D9+E9</f>
        <v>0</v>
      </c>
    </row>
    <row r="10" spans="1:6">
      <c r="B10" s="15"/>
      <c r="C10" s="12"/>
      <c r="F10" s="19"/>
    </row>
    <row r="11" spans="1:6">
      <c r="B11" s="15" t="s">
        <v>76</v>
      </c>
      <c r="C11" s="12" t="s">
        <v>77</v>
      </c>
      <c r="D11" s="9">
        <f>SUM('WP4 Elec Plant YE'!H11:H31)</f>
        <v>1007801615.7300003</v>
      </c>
      <c r="E11" s="9">
        <f>SUM('WP4 Elec Plant YE'!H68:H88)</f>
        <v>-605042162.93999994</v>
      </c>
      <c r="F11" s="19">
        <f>D11+E11</f>
        <v>402759452.79000032</v>
      </c>
    </row>
    <row r="12" spans="1:6">
      <c r="B12" s="15"/>
      <c r="C12" s="12"/>
      <c r="F12" s="19"/>
    </row>
    <row r="13" spans="1:6">
      <c r="B13" s="15" t="s">
        <v>80</v>
      </c>
      <c r="C13" s="12" t="s">
        <v>69</v>
      </c>
      <c r="D13" s="9">
        <f>SUM('WP4 Elec Plant YE'!H32:H40)</f>
        <v>353343887.75</v>
      </c>
      <c r="E13" s="9">
        <f>SUM('WP4 Elec Plant YE'!H89:H97)</f>
        <v>-127339957.28999999</v>
      </c>
      <c r="F13" s="19">
        <f>D13+E13</f>
        <v>226003930.46000001</v>
      </c>
    </row>
    <row r="14" spans="1:6">
      <c r="B14" s="15"/>
      <c r="C14" s="12"/>
      <c r="D14" s="19"/>
      <c r="E14" s="19"/>
      <c r="F14" s="19"/>
    </row>
    <row r="15" spans="1:6">
      <c r="B15" s="15" t="s">
        <v>418</v>
      </c>
      <c r="C15" s="12" t="s">
        <v>143</v>
      </c>
      <c r="D15" s="9">
        <f>SUM('WP4 Elec Plant YE'!H41:H53,'WP4 Elec Plant YE'!H66)</f>
        <v>1412350760.71</v>
      </c>
      <c r="E15" s="6">
        <f>SUM('WP4 Elec Plant YE'!H98:H110,'WP4 Elec Plant YE'!H123)</f>
        <v>-833893119.28999972</v>
      </c>
      <c r="F15" s="19">
        <f>D15+E15</f>
        <v>578457641.42000031</v>
      </c>
    </row>
    <row r="16" spans="1:6">
      <c r="B16" s="15"/>
      <c r="C16" s="12"/>
      <c r="E16" s="6"/>
      <c r="F16" s="19"/>
    </row>
    <row r="17" spans="1:9" ht="15.75" thickBot="1">
      <c r="B17" s="15" t="s">
        <v>104</v>
      </c>
      <c r="C17" s="12" t="s">
        <v>105</v>
      </c>
      <c r="D17" s="70">
        <f>SUM('WP4 Elec Plant YE'!H54:H65)</f>
        <v>299573231.79999995</v>
      </c>
      <c r="E17" s="32">
        <f>SUM('WP4 Elec Plant YE'!H111:H122)</f>
        <v>-112094912.93000001</v>
      </c>
      <c r="F17" s="71">
        <f>D17+E17</f>
        <v>187478318.86999995</v>
      </c>
    </row>
    <row r="18" spans="1:9" ht="15.75" thickTop="1">
      <c r="B18" s="15"/>
      <c r="C18" s="12"/>
      <c r="E18" s="6"/>
      <c r="F18" s="19"/>
    </row>
    <row r="19" spans="1:9">
      <c r="C19" s="12" t="s">
        <v>145</v>
      </c>
      <c r="D19" s="62">
        <f>SUM(D9:D17)</f>
        <v>3073069495.9900007</v>
      </c>
      <c r="E19" s="62">
        <f>SUM(E9:E17)</f>
        <v>-1678370152.4499996</v>
      </c>
      <c r="F19" s="62">
        <f>SUM(F9:F17)</f>
        <v>1394699343.5400004</v>
      </c>
    </row>
    <row r="20" spans="1:9">
      <c r="A20" t="s">
        <v>655</v>
      </c>
    </row>
    <row r="21" spans="1:9">
      <c r="B21" s="30" t="s">
        <v>419</v>
      </c>
    </row>
    <row r="22" spans="1:9" s="44" customFormat="1" ht="30">
      <c r="A22" s="73" t="s">
        <v>420</v>
      </c>
      <c r="B22" s="51" t="s">
        <v>423</v>
      </c>
      <c r="C22" s="51" t="s">
        <v>202</v>
      </c>
      <c r="D22" s="51" t="s">
        <v>424</v>
      </c>
      <c r="E22" s="51" t="s">
        <v>425</v>
      </c>
      <c r="F22" s="51" t="s">
        <v>73</v>
      </c>
      <c r="G22" s="51" t="s">
        <v>41</v>
      </c>
      <c r="H22"/>
    </row>
    <row r="23" spans="1:9">
      <c r="A23" s="31" t="s">
        <v>422</v>
      </c>
      <c r="B23" s="19">
        <v>935100131.95000005</v>
      </c>
      <c r="C23" s="19">
        <v>258986794.99000004</v>
      </c>
      <c r="D23" s="19">
        <v>1360622194.2199998</v>
      </c>
      <c r="E23" s="19">
        <v>203505042.19</v>
      </c>
      <c r="F23" s="19">
        <v>0</v>
      </c>
      <c r="G23" s="19">
        <v>2758214163.3499999</v>
      </c>
      <c r="H23" s="19"/>
      <c r="I23" s="266" t="s">
        <v>612</v>
      </c>
    </row>
    <row r="24" spans="1:9">
      <c r="A24" s="31" t="s">
        <v>762</v>
      </c>
      <c r="B24" s="19">
        <v>935100131.95000005</v>
      </c>
      <c r="C24" s="19">
        <v>258986794.99000004</v>
      </c>
      <c r="D24" s="19">
        <v>1360622194.2199998</v>
      </c>
      <c r="E24" s="19">
        <v>203401339.30000001</v>
      </c>
      <c r="F24" s="19">
        <v>0</v>
      </c>
      <c r="G24" s="19">
        <v>2758110460.46</v>
      </c>
      <c r="I24" s="266"/>
    </row>
    <row r="25" spans="1:9">
      <c r="A25" s="31" t="s">
        <v>761</v>
      </c>
      <c r="B25" s="19">
        <v>935100131.95000005</v>
      </c>
      <c r="C25" s="19">
        <v>258986794.99000004</v>
      </c>
      <c r="D25" s="19">
        <v>1360622194.2199998</v>
      </c>
      <c r="E25" s="19">
        <v>203096892.15000001</v>
      </c>
      <c r="F25" s="19">
        <v>0</v>
      </c>
      <c r="G25" s="19">
        <v>2757806013.3099999</v>
      </c>
      <c r="I25" s="266"/>
    </row>
    <row r="26" spans="1:9">
      <c r="A26" s="31" t="s">
        <v>763</v>
      </c>
      <c r="B26" s="19">
        <v>935100131.95000005</v>
      </c>
      <c r="C26" s="19">
        <v>258986794.99000004</v>
      </c>
      <c r="D26" s="19">
        <v>1360622194.2199998</v>
      </c>
      <c r="E26" s="19">
        <v>203060570.31999999</v>
      </c>
      <c r="F26" s="19">
        <v>0</v>
      </c>
      <c r="G26" s="19">
        <v>2757769691.48</v>
      </c>
      <c r="I26" s="266"/>
    </row>
    <row r="27" spans="1:9">
      <c r="A27" s="31" t="s">
        <v>764</v>
      </c>
      <c r="B27" s="19">
        <v>935100131.95000005</v>
      </c>
      <c r="C27" s="19">
        <v>258986794.99000004</v>
      </c>
      <c r="D27" s="19">
        <v>1360612891.7199998</v>
      </c>
      <c r="E27" s="19">
        <v>203060570.31999999</v>
      </c>
      <c r="F27" s="19">
        <v>0</v>
      </c>
      <c r="G27" s="19">
        <v>2757760388.98</v>
      </c>
      <c r="I27" s="266"/>
    </row>
    <row r="28" spans="1:9">
      <c r="A28" s="31" t="s">
        <v>765</v>
      </c>
      <c r="B28" s="19">
        <v>935100131.95000005</v>
      </c>
      <c r="C28" s="19">
        <v>258986794.99000004</v>
      </c>
      <c r="D28" s="19">
        <v>1360612891.7199998</v>
      </c>
      <c r="E28" s="19">
        <v>203032157.74000001</v>
      </c>
      <c r="F28" s="19">
        <v>0</v>
      </c>
      <c r="G28" s="19">
        <v>2757731976.4000001</v>
      </c>
      <c r="I28" s="266"/>
    </row>
    <row r="29" spans="1:9">
      <c r="A29" s="31" t="s">
        <v>766</v>
      </c>
      <c r="B29" s="19">
        <v>935100131.95000005</v>
      </c>
      <c r="C29" s="19">
        <v>258986794.99000004</v>
      </c>
      <c r="D29" s="19">
        <v>1360612891.7199998</v>
      </c>
      <c r="E29" s="19">
        <v>203032157.74000001</v>
      </c>
      <c r="F29" s="19">
        <v>0</v>
      </c>
      <c r="G29" s="19">
        <v>2757731976.4000001</v>
      </c>
      <c r="I29" s="266"/>
    </row>
    <row r="30" spans="1:9">
      <c r="A30" s="31" t="s">
        <v>767</v>
      </c>
      <c r="B30" s="19">
        <v>935100131.95000005</v>
      </c>
      <c r="C30" s="19">
        <v>258986794.99000004</v>
      </c>
      <c r="D30" s="19">
        <v>1360612891.7199998</v>
      </c>
      <c r="E30" s="19">
        <v>202926036.81999999</v>
      </c>
      <c r="F30" s="19">
        <v>0</v>
      </c>
      <c r="G30" s="19">
        <v>2757625855.48</v>
      </c>
      <c r="I30" s="266"/>
    </row>
    <row r="31" spans="1:9">
      <c r="A31" s="31" t="s">
        <v>768</v>
      </c>
      <c r="B31" s="19">
        <v>935100131.95000005</v>
      </c>
      <c r="C31" s="19">
        <v>258986794.99000004</v>
      </c>
      <c r="D31" s="19">
        <v>1360612891.7199998</v>
      </c>
      <c r="E31" s="19">
        <v>205416248.59999999</v>
      </c>
      <c r="F31" s="19">
        <v>0</v>
      </c>
      <c r="G31" s="19">
        <v>2760116067.2599998</v>
      </c>
      <c r="I31" s="266"/>
    </row>
    <row r="32" spans="1:9">
      <c r="A32" s="31" t="s">
        <v>769</v>
      </c>
      <c r="B32" s="19">
        <v>935730240.0999999</v>
      </c>
      <c r="C32" s="19">
        <v>258986794.99000004</v>
      </c>
      <c r="D32" s="19">
        <v>1361181769.9299998</v>
      </c>
      <c r="E32" s="19">
        <v>205237092.72</v>
      </c>
      <c r="F32" s="19">
        <v>0</v>
      </c>
      <c r="G32" s="19">
        <v>2761135897.7399988</v>
      </c>
      <c r="I32" s="266"/>
    </row>
    <row r="33" spans="1:9">
      <c r="A33" s="31" t="s">
        <v>770</v>
      </c>
      <c r="B33" s="19">
        <v>935585240.0999999</v>
      </c>
      <c r="C33" s="19">
        <v>258986794.99000004</v>
      </c>
      <c r="D33" s="19">
        <v>1361181769.9299998</v>
      </c>
      <c r="E33" s="19">
        <v>204672098.38</v>
      </c>
      <c r="F33" s="19">
        <v>0</v>
      </c>
      <c r="G33" s="19">
        <v>2760425903.3999991</v>
      </c>
      <c r="I33" s="266"/>
    </row>
    <row r="34" spans="1:9">
      <c r="A34" s="31" t="s">
        <v>771</v>
      </c>
      <c r="B34" s="19">
        <v>940814443.73000002</v>
      </c>
      <c r="C34" s="19">
        <v>258986794.99000004</v>
      </c>
      <c r="D34" s="19">
        <v>1361181769.9299998</v>
      </c>
      <c r="E34" s="19">
        <v>206146760.28</v>
      </c>
      <c r="F34" s="19">
        <v>0</v>
      </c>
      <c r="G34" s="19">
        <v>2767129768.9299994</v>
      </c>
      <c r="I34" s="266"/>
    </row>
    <row r="35" spans="1:9">
      <c r="A35" s="31" t="s">
        <v>772</v>
      </c>
      <c r="B35" s="19">
        <v>1007801615.7300003</v>
      </c>
      <c r="C35" s="19">
        <v>353343887.75</v>
      </c>
      <c r="D35" s="19">
        <v>1412350760.71</v>
      </c>
      <c r="E35" s="19">
        <v>299573231.79999995</v>
      </c>
      <c r="F35" s="19">
        <v>0</v>
      </c>
      <c r="G35" s="19">
        <v>3073069495.9900002</v>
      </c>
      <c r="I35" s="266"/>
    </row>
    <row r="36" spans="1:9">
      <c r="A36" s="31"/>
      <c r="B36" s="19"/>
      <c r="C36" s="19"/>
      <c r="D36" s="19"/>
      <c r="E36" s="19"/>
      <c r="F36" s="19"/>
      <c r="G36" s="19"/>
    </row>
    <row r="37" spans="1:9">
      <c r="A37" s="31" t="s">
        <v>421</v>
      </c>
      <c r="B37" s="19">
        <f>AVERAGE(B23:B35)</f>
        <v>941217902.09307683</v>
      </c>
      <c r="C37" s="19">
        <f t="shared" ref="C37:G37" si="0">AVERAGE(C23:C35)</f>
        <v>266245032.89461547</v>
      </c>
      <c r="D37" s="19">
        <f t="shared" si="0"/>
        <v>1364726869.690769</v>
      </c>
      <c r="E37" s="19">
        <f t="shared" si="0"/>
        <v>211243092.18153843</v>
      </c>
      <c r="F37" s="19">
        <f t="shared" si="0"/>
        <v>0</v>
      </c>
      <c r="G37" s="19">
        <f t="shared" si="0"/>
        <v>2783432896.8599997</v>
      </c>
    </row>
    <row r="38" spans="1:9">
      <c r="A38" s="31"/>
      <c r="B38" s="19"/>
      <c r="C38" s="19"/>
      <c r="D38" s="19"/>
      <c r="E38" s="19"/>
      <c r="F38" s="19"/>
      <c r="G38" s="19"/>
    </row>
    <row r="39" spans="1:9">
      <c r="A39" t="s">
        <v>656</v>
      </c>
    </row>
    <row r="40" spans="1:9">
      <c r="B40" s="30" t="s">
        <v>419</v>
      </c>
    </row>
    <row r="41" spans="1:9" ht="30">
      <c r="A41" s="73" t="s">
        <v>420</v>
      </c>
      <c r="B41" s="51" t="s">
        <v>423</v>
      </c>
      <c r="C41" s="51" t="s">
        <v>202</v>
      </c>
      <c r="D41" s="51" t="s">
        <v>424</v>
      </c>
      <c r="E41" s="51" t="s">
        <v>425</v>
      </c>
      <c r="F41" s="51" t="s">
        <v>73</v>
      </c>
      <c r="G41" s="51" t="s">
        <v>426</v>
      </c>
    </row>
    <row r="42" spans="1:9">
      <c r="A42" s="31" t="s">
        <v>427</v>
      </c>
      <c r="B42" s="19">
        <v>-563705927.83000004</v>
      </c>
      <c r="C42" s="19">
        <v>-120653614.40999998</v>
      </c>
      <c r="D42" s="19">
        <v>-796292084.61999989</v>
      </c>
      <c r="E42" s="19">
        <v>-104464059.66999999</v>
      </c>
      <c r="F42" s="19">
        <v>0</v>
      </c>
      <c r="G42" s="19">
        <v>-1585115686.53</v>
      </c>
      <c r="I42" s="266" t="s">
        <v>613</v>
      </c>
    </row>
    <row r="43" spans="1:9">
      <c r="A43" s="31" t="s">
        <v>784</v>
      </c>
      <c r="B43" s="19">
        <v>-566668764.75999999</v>
      </c>
      <c r="C43" s="19">
        <v>-121189159.61999999</v>
      </c>
      <c r="D43" s="19">
        <v>-799446552.04999983</v>
      </c>
      <c r="E43" s="19">
        <v>-105131894</v>
      </c>
      <c r="F43" s="19">
        <v>0</v>
      </c>
      <c r="G43" s="19">
        <v>-1592436370.4299998</v>
      </c>
      <c r="I43" s="266"/>
    </row>
    <row r="44" spans="1:9">
      <c r="A44" s="31" t="s">
        <v>783</v>
      </c>
      <c r="B44" s="19">
        <v>-569631601.4000001</v>
      </c>
      <c r="C44" s="19">
        <v>-121724704.91999997</v>
      </c>
      <c r="D44" s="19">
        <v>-802601019.32999992</v>
      </c>
      <c r="E44" s="19">
        <v>-105593432.45000002</v>
      </c>
      <c r="F44" s="19">
        <v>0</v>
      </c>
      <c r="G44" s="19">
        <v>-1599550758.1000001</v>
      </c>
      <c r="I44" s="266"/>
    </row>
    <row r="45" spans="1:9">
      <c r="A45" s="31" t="s">
        <v>782</v>
      </c>
      <c r="B45" s="19">
        <v>-572593265.46999991</v>
      </c>
      <c r="C45" s="19">
        <v>-122260250.12999998</v>
      </c>
      <c r="D45" s="19">
        <v>-805755486.61999989</v>
      </c>
      <c r="E45" s="19">
        <v>-106317706.72999999</v>
      </c>
      <c r="F45" s="19">
        <v>0</v>
      </c>
      <c r="G45" s="19">
        <v>-1606926708.9499998</v>
      </c>
      <c r="I45" s="266"/>
    </row>
    <row r="46" spans="1:9">
      <c r="A46" s="31" t="s">
        <v>781</v>
      </c>
      <c r="B46" s="19">
        <v>-575554356.08999991</v>
      </c>
      <c r="C46" s="19">
        <v>-122795795.47999999</v>
      </c>
      <c r="D46" s="19">
        <v>-808903418.91999972</v>
      </c>
      <c r="E46" s="19">
        <v>-107066514.17000002</v>
      </c>
      <c r="F46" s="19">
        <v>0</v>
      </c>
      <c r="G46" s="19">
        <v>-1614320084.6599998</v>
      </c>
      <c r="I46" s="266"/>
    </row>
    <row r="47" spans="1:9">
      <c r="A47" s="31" t="s">
        <v>780</v>
      </c>
      <c r="B47" s="19">
        <v>-578515447.00000012</v>
      </c>
      <c r="C47" s="19">
        <v>-123331340.66999999</v>
      </c>
      <c r="D47" s="19">
        <v>-812057847.61999989</v>
      </c>
      <c r="E47" s="19">
        <v>-107766938.91</v>
      </c>
      <c r="F47" s="19">
        <v>0</v>
      </c>
      <c r="G47" s="19">
        <v>-1621671574.2</v>
      </c>
      <c r="I47" s="266"/>
    </row>
    <row r="48" spans="1:9">
      <c r="A48" s="31" t="s">
        <v>779</v>
      </c>
      <c r="B48" s="19">
        <v>-581476274.72000003</v>
      </c>
      <c r="C48" s="19">
        <v>-123866886.05999999</v>
      </c>
      <c r="D48" s="19">
        <v>-815212276.59999967</v>
      </c>
      <c r="E48" s="19">
        <v>-108493817.94</v>
      </c>
      <c r="F48" s="19">
        <v>0</v>
      </c>
      <c r="G48" s="19">
        <v>-1629049255.3199997</v>
      </c>
      <c r="I48" s="266"/>
    </row>
    <row r="49" spans="1:9">
      <c r="A49" s="31" t="s">
        <v>778</v>
      </c>
      <c r="B49" s="19">
        <v>-584399402.47000003</v>
      </c>
      <c r="C49" s="19">
        <v>-124393530.65999997</v>
      </c>
      <c r="D49" s="19">
        <v>-818313142.89999998</v>
      </c>
      <c r="E49" s="19">
        <v>-109114255.90000001</v>
      </c>
      <c r="F49" s="19">
        <v>0</v>
      </c>
      <c r="G49" s="19">
        <v>-1636220331.9300001</v>
      </c>
      <c r="I49" s="266"/>
    </row>
    <row r="50" spans="1:9">
      <c r="A50" s="31" t="s">
        <v>777</v>
      </c>
      <c r="B50" s="19">
        <v>-587322289.49000013</v>
      </c>
      <c r="C50" s="19">
        <v>-124920175.64999998</v>
      </c>
      <c r="D50" s="19">
        <v>-821414009.26999998</v>
      </c>
      <c r="E50" s="19">
        <v>-109188613.08000004</v>
      </c>
      <c r="F50" s="19">
        <v>0</v>
      </c>
      <c r="G50" s="19">
        <v>-1642845087.4900002</v>
      </c>
      <c r="I50" s="266"/>
    </row>
    <row r="51" spans="1:9">
      <c r="A51" s="31" t="s">
        <v>773</v>
      </c>
      <c r="B51" s="19">
        <v>-590219484.50999999</v>
      </c>
      <c r="C51" s="19">
        <v>-125446820.29999998</v>
      </c>
      <c r="D51" s="19">
        <v>-824529334.2099998</v>
      </c>
      <c r="E51" s="19">
        <v>-109732411.36000001</v>
      </c>
      <c r="F51" s="19">
        <v>0</v>
      </c>
      <c r="G51" s="19">
        <v>-1649928050.3799996</v>
      </c>
      <c r="I51" s="266"/>
    </row>
    <row r="52" spans="1:9">
      <c r="A52" s="31" t="s">
        <v>776</v>
      </c>
      <c r="B52" s="19">
        <v>-593027711.65999997</v>
      </c>
      <c r="C52" s="19">
        <v>-125973465.31999998</v>
      </c>
      <c r="D52" s="19">
        <v>-827631807.26999986</v>
      </c>
      <c r="E52" s="19">
        <v>-109938640.53</v>
      </c>
      <c r="F52" s="19">
        <v>0</v>
      </c>
      <c r="G52" s="19">
        <v>-1656571624.7799997</v>
      </c>
      <c r="I52" s="266"/>
    </row>
    <row r="53" spans="1:9">
      <c r="A53" s="31" t="s">
        <v>775</v>
      </c>
      <c r="B53" s="19">
        <v>-596142875.12000012</v>
      </c>
      <c r="C53" s="19">
        <v>-126500110.00999996</v>
      </c>
      <c r="D53" s="19">
        <v>-830734280.13999987</v>
      </c>
      <c r="E53" s="19">
        <v>-110742103.52000001</v>
      </c>
      <c r="F53" s="19">
        <v>0</v>
      </c>
      <c r="G53" s="19">
        <v>-1664119368.79</v>
      </c>
      <c r="I53" s="266"/>
    </row>
    <row r="54" spans="1:9">
      <c r="A54" s="31" t="s">
        <v>774</v>
      </c>
      <c r="B54" s="19">
        <v>-605042162.93999994</v>
      </c>
      <c r="C54" s="19">
        <v>-127339957.28999999</v>
      </c>
      <c r="D54" s="19">
        <v>-833893119.28999972</v>
      </c>
      <c r="E54" s="19">
        <v>-112094912.93000001</v>
      </c>
      <c r="F54" s="19">
        <v>0</v>
      </c>
      <c r="G54" s="19">
        <v>-1678370152.4499996</v>
      </c>
      <c r="I54" s="266"/>
    </row>
    <row r="55" spans="1:9">
      <c r="B55" s="19"/>
      <c r="C55" s="19"/>
      <c r="D55" s="19"/>
      <c r="E55" s="19"/>
      <c r="F55" s="19"/>
      <c r="G55" s="19"/>
    </row>
    <row r="56" spans="1:9">
      <c r="A56" s="31" t="s">
        <v>421</v>
      </c>
      <c r="B56" s="19">
        <f>AVERAGE(B42:B54)</f>
        <v>-581869197.1892308</v>
      </c>
      <c r="C56" s="19">
        <f t="shared" ref="C56:G56" si="1">AVERAGE(C42:C54)</f>
        <v>-123876600.80923074</v>
      </c>
      <c r="D56" s="19">
        <f t="shared" si="1"/>
        <v>-815137259.91076899</v>
      </c>
      <c r="E56" s="19">
        <f t="shared" si="1"/>
        <v>-108126561.63000003</v>
      </c>
      <c r="F56" s="19">
        <f t="shared" si="1"/>
        <v>0</v>
      </c>
      <c r="G56" s="19">
        <f t="shared" si="1"/>
        <v>-1629009619.5392308</v>
      </c>
    </row>
    <row r="69" spans="3:3">
      <c r="C69" s="9"/>
    </row>
    <row r="70" spans="3:3">
      <c r="C70" s="9"/>
    </row>
  </sheetData>
  <mergeCells count="2">
    <mergeCell ref="I23:I35"/>
    <mergeCell ref="I42:I54"/>
  </mergeCells>
  <pageMargins left="0.7" right="0.7" top="0.75" bottom="0.75" header="0.3" footer="0.3"/>
  <pageSetup scale="92" orientation="landscape" r:id="rId3"/>
  <rowBreaks count="1" manualBreakCount="1">
    <brk id="3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70C0"/>
  </sheetPr>
  <dimension ref="A1:P125"/>
  <sheetViews>
    <sheetView zoomScaleNormal="100" workbookViewId="0">
      <pane ySplit="9" topLeftCell="A10" activePane="bottomLeft" state="frozen"/>
      <selection activeCell="K28" sqref="K28"/>
      <selection pane="bottomLeft"/>
    </sheetView>
  </sheetViews>
  <sheetFormatPr defaultColWidth="11.42578125" defaultRowHeight="15"/>
  <cols>
    <col min="1" max="1" width="5.7109375" style="22" customWidth="1"/>
    <col min="2" max="2" width="11.7109375" style="22" bestFit="1" customWidth="1"/>
    <col min="3" max="3" width="31.85546875" style="22" bestFit="1" customWidth="1"/>
    <col min="4" max="4" width="9.85546875" style="22" bestFit="1" customWidth="1"/>
    <col min="5" max="5" width="12.85546875" style="22" bestFit="1" customWidth="1"/>
    <col min="6" max="6" width="15" style="22" bestFit="1" customWidth="1"/>
    <col min="7" max="7" width="20.140625" style="22" bestFit="1" customWidth="1"/>
    <col min="8" max="8" width="21.28515625" style="22" bestFit="1" customWidth="1"/>
    <col min="9" max="9" width="7.7109375" style="22" customWidth="1"/>
    <col min="10" max="10" width="6" style="22" customWidth="1"/>
    <col min="11" max="11" width="15.28515625" style="22" bestFit="1" customWidth="1"/>
    <col min="12" max="12" width="15.140625" style="22" bestFit="1" customWidth="1"/>
    <col min="13" max="13" width="11.42578125" style="22"/>
    <col min="14" max="14" width="15.28515625" style="22" bestFit="1" customWidth="1"/>
    <col min="15" max="15" width="11.42578125" style="22"/>
    <col min="16" max="16" width="15.28515625" style="22" bestFit="1" customWidth="1"/>
    <col min="17" max="16384" width="11.42578125" style="22"/>
  </cols>
  <sheetData>
    <row r="1" spans="1:16">
      <c r="A1" s="117" t="str">
        <f>TOC!A1</f>
        <v>Colorado Springs Utilities</v>
      </c>
      <c r="B1" s="118"/>
      <c r="C1" s="118"/>
      <c r="D1" s="118"/>
      <c r="E1" s="118"/>
    </row>
    <row r="2" spans="1:16">
      <c r="A2" s="119" t="str">
        <f>TOC!A2</f>
        <v>2027 Transmission Formula Rate (TFR) Backup</v>
      </c>
      <c r="B2" s="118"/>
      <c r="C2" s="118"/>
      <c r="D2" s="118"/>
      <c r="E2" s="118"/>
    </row>
    <row r="3" spans="1:16">
      <c r="A3" s="120"/>
      <c r="B3" s="118"/>
      <c r="C3" s="118"/>
      <c r="D3" s="118"/>
      <c r="E3" s="118"/>
    </row>
    <row r="4" spans="1:16">
      <c r="A4" s="117" t="s">
        <v>494</v>
      </c>
      <c r="B4" s="118"/>
      <c r="C4" s="118"/>
      <c r="D4" s="118"/>
      <c r="E4" s="118"/>
    </row>
    <row r="5" spans="1:16">
      <c r="A5" s="121" t="str">
        <f>UPPER(VLOOKUP(A$4,TOC!$A$7:$C$39,3,FALSE))</f>
        <v>ELECTRIC PLANT - DETAIL</v>
      </c>
      <c r="B5" s="118"/>
      <c r="C5" s="122"/>
      <c r="D5" s="118"/>
      <c r="E5" s="118"/>
    </row>
    <row r="6" spans="1:16">
      <c r="A6" s="121" t="s">
        <v>321</v>
      </c>
      <c r="B6" s="118"/>
      <c r="C6" s="118"/>
      <c r="D6" s="118"/>
      <c r="E6" s="118"/>
    </row>
    <row r="7" spans="1:16">
      <c r="A7" s="121" t="s">
        <v>704</v>
      </c>
      <c r="B7" s="118"/>
      <c r="C7" s="118"/>
      <c r="D7" s="118"/>
      <c r="E7" s="118"/>
    </row>
    <row r="8" spans="1:16">
      <c r="A8" s="118"/>
      <c r="B8" s="118"/>
      <c r="C8" s="121"/>
      <c r="D8" s="118"/>
      <c r="E8" s="118"/>
    </row>
    <row r="9" spans="1:16" ht="27" thickBot="1">
      <c r="A9" s="23" t="s">
        <v>155</v>
      </c>
      <c r="B9" s="24" t="s">
        <v>70</v>
      </c>
      <c r="C9" s="24" t="s">
        <v>156</v>
      </c>
      <c r="D9" s="24" t="s">
        <v>152</v>
      </c>
      <c r="E9" s="24" t="s">
        <v>64</v>
      </c>
      <c r="F9" s="24" t="s">
        <v>138</v>
      </c>
      <c r="G9" s="25" t="s">
        <v>157</v>
      </c>
      <c r="H9" s="25" t="s">
        <v>158</v>
      </c>
      <c r="I9" s="24" t="s">
        <v>159</v>
      </c>
      <c r="J9" s="24" t="s">
        <v>160</v>
      </c>
    </row>
    <row r="10" spans="1:16">
      <c r="A10" s="26">
        <v>1</v>
      </c>
      <c r="B10" s="27" t="s">
        <v>161</v>
      </c>
      <c r="C10" s="27" t="s">
        <v>162</v>
      </c>
      <c r="D10" s="27" t="s">
        <v>153</v>
      </c>
      <c r="E10" s="27" t="s">
        <v>163</v>
      </c>
      <c r="F10" s="27" t="s">
        <v>73</v>
      </c>
      <c r="G10" s="28">
        <f>IF($J10="000",_xlfn.XLOOKUP($D10,'WP5 Elec Plant 13-mo'!$A$10:$A$66,'WP5 Elec Plant 13-mo'!$D$10:$D$66,""),_xlfn.XLOOKUP($D10,'WP5 Elec Plant 13-mo'!$A$10:$A$66,'WP5 Elec Plant 13-mo'!$E$10:$E$66,""))</f>
        <v>0</v>
      </c>
      <c r="H10" s="28">
        <f>IF($J10="000",_xlfn.XLOOKUP($D10,'WP5 Elec Plant 13-mo'!$A$10:$A$66,'WP5 Elec Plant 13-mo'!$AN$10:$AN$66,""),_xlfn.XLOOKUP($D10,'WP5 Elec Plant 13-mo'!$A$10:$A$66,'WP5 Elec Plant 13-mo'!$AO$10:$AO$66,""))</f>
        <v>0</v>
      </c>
      <c r="I10" s="29" t="s">
        <v>164</v>
      </c>
      <c r="J10" s="22" t="str">
        <f>MID(B10,4,3)</f>
        <v>000</v>
      </c>
      <c r="K10" s="28"/>
      <c r="L10" s="28"/>
      <c r="M10" s="37"/>
      <c r="N10" s="37"/>
    </row>
    <row r="11" spans="1:16">
      <c r="A11" s="26">
        <f>A10+1</f>
        <v>2</v>
      </c>
      <c r="B11" s="27" t="s">
        <v>165</v>
      </c>
      <c r="C11" s="27" t="s">
        <v>166</v>
      </c>
      <c r="D11" s="27" t="s">
        <v>72</v>
      </c>
      <c r="E11" s="27" t="s">
        <v>163</v>
      </c>
      <c r="F11" s="27" t="s">
        <v>167</v>
      </c>
      <c r="G11" s="28">
        <f>IF($J11="000",_xlfn.XLOOKUP($D11,'WP5 Elec Plant 13-mo'!$A$10:$A$66,'WP5 Elec Plant 13-mo'!$D$10:$D$66,""),_xlfn.XLOOKUP($D11,'WP5 Elec Plant 13-mo'!$A$10:$A$66,'WP5 Elec Plant 13-mo'!$E$10:$E$66,""))</f>
        <v>11209015.300000001</v>
      </c>
      <c r="H11" s="29">
        <f>IF($J11="000",_xlfn.XLOOKUP($D11,'WP5 Elec Plant 13-mo'!$A$10:$A$66,'WP5 Elec Plant 13-mo'!$AN$10:$AN$66,""),_xlfn.XLOOKUP($D11,'WP5 Elec Plant 13-mo'!$A$10:$A$66,'WP5 Elec Plant 13-mo'!$AO$10:$AO$66,""))</f>
        <v>11209015.300000001</v>
      </c>
      <c r="I11" s="29" t="s">
        <v>168</v>
      </c>
      <c r="J11" s="22" t="str">
        <f t="shared" ref="J11:J75" si="0">MID(B11,4,3)</f>
        <v>000</v>
      </c>
      <c r="K11" s="28"/>
      <c r="L11" s="28"/>
      <c r="M11" s="37"/>
      <c r="N11" s="37"/>
      <c r="P11" s="37"/>
    </row>
    <row r="12" spans="1:16">
      <c r="A12" s="26">
        <f t="shared" ref="A12:A76" si="1">A11+1</f>
        <v>3</v>
      </c>
      <c r="B12" s="27" t="s">
        <v>169</v>
      </c>
      <c r="C12" s="27" t="s">
        <v>170</v>
      </c>
      <c r="D12" s="27" t="s">
        <v>74</v>
      </c>
      <c r="E12" s="27" t="s">
        <v>163</v>
      </c>
      <c r="F12" s="27" t="s">
        <v>167</v>
      </c>
      <c r="G12" s="28">
        <f>IF($J12="000",_xlfn.XLOOKUP($D12,'WP5 Elec Plant 13-mo'!$A$10:$A$66,'WP5 Elec Plant 13-mo'!$D$10:$D$66,""),_xlfn.XLOOKUP($D12,'WP5 Elec Plant 13-mo'!$A$10:$A$66,'WP5 Elec Plant 13-mo'!$E$10:$E$66,""))</f>
        <v>50094817.619999997</v>
      </c>
      <c r="H12" s="29">
        <f>IF($J12="000",_xlfn.XLOOKUP($D12,'WP5 Elec Plant 13-mo'!$A$10:$A$66,'WP5 Elec Plant 13-mo'!$AN$10:$AN$66,""),_xlfn.XLOOKUP($D12,'WP5 Elec Plant 13-mo'!$A$10:$A$66,'WP5 Elec Plant 13-mo'!$AO$10:$AO$66,""))</f>
        <v>49670122.839999996</v>
      </c>
      <c r="I12" s="29" t="s">
        <v>171</v>
      </c>
      <c r="J12" s="22" t="str">
        <f t="shared" si="0"/>
        <v>000</v>
      </c>
      <c r="K12" s="28"/>
      <c r="L12" s="28"/>
      <c r="M12" s="37"/>
      <c r="N12" s="37"/>
    </row>
    <row r="13" spans="1:16">
      <c r="A13" s="26">
        <f t="shared" si="1"/>
        <v>4</v>
      </c>
      <c r="B13" s="27" t="s">
        <v>172</v>
      </c>
      <c r="C13" s="27" t="s">
        <v>173</v>
      </c>
      <c r="D13" s="27" t="s">
        <v>75</v>
      </c>
      <c r="E13" s="27" t="s">
        <v>163</v>
      </c>
      <c r="F13" s="27" t="s">
        <v>167</v>
      </c>
      <c r="G13" s="28">
        <f>IF($J13="000",_xlfn.XLOOKUP($D13,'WP5 Elec Plant 13-mo'!$A$10:$A$66,'WP5 Elec Plant 13-mo'!$D$10:$D$66,""),_xlfn.XLOOKUP($D13,'WP5 Elec Plant 13-mo'!$A$10:$A$66,'WP5 Elec Plant 13-mo'!$E$10:$E$66,""))</f>
        <v>210497810.07000002</v>
      </c>
      <c r="H13" s="29">
        <f>IF($J13="000",_xlfn.XLOOKUP($D13,'WP5 Elec Plant 13-mo'!$A$10:$A$66,'WP5 Elec Plant 13-mo'!$AN$10:$AN$66,""),_xlfn.XLOOKUP($D13,'WP5 Elec Plant 13-mo'!$A$10:$A$66,'WP5 Elec Plant 13-mo'!$AO$10:$AO$66,""))</f>
        <v>239391567.74000004</v>
      </c>
      <c r="I13" s="29" t="s">
        <v>171</v>
      </c>
      <c r="J13" s="22" t="str">
        <f t="shared" si="0"/>
        <v>000</v>
      </c>
      <c r="K13" s="28"/>
      <c r="L13" s="28"/>
      <c r="M13" s="37"/>
      <c r="N13" s="37"/>
    </row>
    <row r="14" spans="1:16">
      <c r="A14" s="26">
        <f t="shared" si="1"/>
        <v>5</v>
      </c>
      <c r="B14" s="27" t="s">
        <v>174</v>
      </c>
      <c r="C14" s="27" t="s">
        <v>175</v>
      </c>
      <c r="D14" s="27" t="s">
        <v>78</v>
      </c>
      <c r="E14" s="27" t="s">
        <v>163</v>
      </c>
      <c r="F14" s="27" t="s">
        <v>167</v>
      </c>
      <c r="G14" s="28">
        <f>IF($J14="000",_xlfn.XLOOKUP($D14,'WP5 Elec Plant 13-mo'!$A$10:$A$66,'WP5 Elec Plant 13-mo'!$D$10:$D$66,""),_xlfn.XLOOKUP($D14,'WP5 Elec Plant 13-mo'!$A$10:$A$66,'WP5 Elec Plant 13-mo'!$E$10:$E$66,""))</f>
        <v>754704.29</v>
      </c>
      <c r="H14" s="29">
        <f>IF($J14="000",_xlfn.XLOOKUP($D14,'WP5 Elec Plant 13-mo'!$A$10:$A$66,'WP5 Elec Plant 13-mo'!$AN$10:$AN$66,""),_xlfn.XLOOKUP($D14,'WP5 Elec Plant 13-mo'!$A$10:$A$66,'WP5 Elec Plant 13-mo'!$AO$10:$AO$66,""))</f>
        <v>754704.29</v>
      </c>
      <c r="I14" s="29" t="s">
        <v>171</v>
      </c>
      <c r="J14" s="22" t="str">
        <f t="shared" si="0"/>
        <v>000</v>
      </c>
      <c r="K14" s="28"/>
      <c r="L14" s="28"/>
      <c r="M14" s="37"/>
      <c r="N14" s="37"/>
    </row>
    <row r="15" spans="1:16">
      <c r="A15" s="26">
        <f t="shared" si="1"/>
        <v>6</v>
      </c>
      <c r="B15" s="27" t="s">
        <v>176</v>
      </c>
      <c r="C15" s="27" t="s">
        <v>177</v>
      </c>
      <c r="D15" s="27" t="s">
        <v>79</v>
      </c>
      <c r="E15" s="27" t="s">
        <v>163</v>
      </c>
      <c r="F15" s="27" t="s">
        <v>167</v>
      </c>
      <c r="G15" s="28">
        <f>IF($J15="000",_xlfn.XLOOKUP($D15,'WP5 Elec Plant 13-mo'!$A$10:$A$66,'WP5 Elec Plant 13-mo'!$D$10:$D$66,""),_xlfn.XLOOKUP($D15,'WP5 Elec Plant 13-mo'!$A$10:$A$66,'WP5 Elec Plant 13-mo'!$E$10:$E$66,""))</f>
        <v>41617136.25</v>
      </c>
      <c r="H15" s="29">
        <f>IF($J15="000",_xlfn.XLOOKUP($D15,'WP5 Elec Plant 13-mo'!$A$10:$A$66,'WP5 Elec Plant 13-mo'!$AN$10:$AN$66,""),_xlfn.XLOOKUP($D15,'WP5 Elec Plant 13-mo'!$A$10:$A$66,'WP5 Elec Plant 13-mo'!$AO$10:$AO$66,""))</f>
        <v>42628460.140000001</v>
      </c>
      <c r="I15" s="29" t="s">
        <v>171</v>
      </c>
      <c r="J15" s="22" t="str">
        <f t="shared" si="0"/>
        <v>000</v>
      </c>
      <c r="K15" s="28"/>
      <c r="L15" s="28"/>
      <c r="M15" s="37"/>
      <c r="N15" s="37"/>
    </row>
    <row r="16" spans="1:16">
      <c r="A16" s="26">
        <f t="shared" si="1"/>
        <v>7</v>
      </c>
      <c r="B16" s="27" t="s">
        <v>178</v>
      </c>
      <c r="C16" s="27" t="s">
        <v>179</v>
      </c>
      <c r="D16" s="27" t="s">
        <v>81</v>
      </c>
      <c r="E16" s="27" t="s">
        <v>163</v>
      </c>
      <c r="F16" s="27" t="s">
        <v>167</v>
      </c>
      <c r="G16" s="28">
        <f>IF($J16="000",_xlfn.XLOOKUP($D16,'WP5 Elec Plant 13-mo'!$A$10:$A$66,'WP5 Elec Plant 13-mo'!$D$10:$D$66,""),_xlfn.XLOOKUP($D16,'WP5 Elec Plant 13-mo'!$A$10:$A$66,'WP5 Elec Plant 13-mo'!$E$10:$E$66,""))</f>
        <v>27744976.029999997</v>
      </c>
      <c r="H16" s="29">
        <f>IF($J16="000",_xlfn.XLOOKUP($D16,'WP5 Elec Plant 13-mo'!$A$10:$A$66,'WP5 Elec Plant 13-mo'!$AN$10:$AN$66,""),_xlfn.XLOOKUP($D16,'WP5 Elec Plant 13-mo'!$A$10:$A$66,'WP5 Elec Plant 13-mo'!$AO$10:$AO$66,""))</f>
        <v>28565149.419999998</v>
      </c>
      <c r="I16" s="29" t="s">
        <v>171</v>
      </c>
      <c r="J16" s="22" t="str">
        <f t="shared" si="0"/>
        <v>000</v>
      </c>
      <c r="K16" s="28"/>
      <c r="L16" s="28"/>
      <c r="M16" s="37"/>
      <c r="N16" s="37"/>
    </row>
    <row r="17" spans="1:14">
      <c r="A17" s="26">
        <f t="shared" si="1"/>
        <v>8</v>
      </c>
      <c r="B17" s="27" t="s">
        <v>180</v>
      </c>
      <c r="C17" s="27" t="s">
        <v>181</v>
      </c>
      <c r="D17" s="27" t="s">
        <v>82</v>
      </c>
      <c r="E17" s="27" t="s">
        <v>163</v>
      </c>
      <c r="F17" s="27" t="s">
        <v>167</v>
      </c>
      <c r="G17" s="28">
        <f>IF($J17="000",_xlfn.XLOOKUP($D17,'WP5 Elec Plant 13-mo'!$A$10:$A$66,'WP5 Elec Plant 13-mo'!$D$10:$D$66,""),_xlfn.XLOOKUP($D17,'WP5 Elec Plant 13-mo'!$A$10:$A$66,'WP5 Elec Plant 13-mo'!$E$10:$E$66,""))</f>
        <v>8156589.9099999992</v>
      </c>
      <c r="H17" s="29">
        <f>IF($J17="000",_xlfn.XLOOKUP($D17,'WP5 Elec Plant 13-mo'!$A$10:$A$66,'WP5 Elec Plant 13-mo'!$AN$10:$AN$66,""),_xlfn.XLOOKUP($D17,'WP5 Elec Plant 13-mo'!$A$10:$A$66,'WP5 Elec Plant 13-mo'!$AO$10:$AO$66,""))</f>
        <v>8169632.919999999</v>
      </c>
      <c r="I17" s="29" t="s">
        <v>171</v>
      </c>
      <c r="J17" s="22" t="str">
        <f t="shared" si="0"/>
        <v>000</v>
      </c>
      <c r="K17" s="28"/>
      <c r="L17" s="28"/>
      <c r="M17" s="37"/>
      <c r="N17" s="37"/>
    </row>
    <row r="18" spans="1:14">
      <c r="A18" s="26">
        <f t="shared" si="1"/>
        <v>9</v>
      </c>
      <c r="B18" s="27" t="s">
        <v>182</v>
      </c>
      <c r="C18" s="27" t="s">
        <v>166</v>
      </c>
      <c r="D18" s="27" t="s">
        <v>83</v>
      </c>
      <c r="E18" s="27" t="s">
        <v>163</v>
      </c>
      <c r="F18" s="27" t="s">
        <v>167</v>
      </c>
      <c r="G18" s="28">
        <f>IF($J18="000",_xlfn.XLOOKUP($D18,'WP5 Elec Plant 13-mo'!$A$10:$A$66,'WP5 Elec Plant 13-mo'!$D$10:$D$66,""),_xlfn.XLOOKUP($D18,'WP5 Elec Plant 13-mo'!$A$10:$A$66,'WP5 Elec Plant 13-mo'!$E$10:$E$66,""))</f>
        <v>1578200.75</v>
      </c>
      <c r="H18" s="29">
        <f>IF($J18="000",_xlfn.XLOOKUP($D18,'WP5 Elec Plant 13-mo'!$A$10:$A$66,'WP5 Elec Plant 13-mo'!$AN$10:$AN$66,""),_xlfn.XLOOKUP($D18,'WP5 Elec Plant 13-mo'!$A$10:$A$66,'WP5 Elec Plant 13-mo'!$AO$10:$AO$66,""))</f>
        <v>1578200.75</v>
      </c>
      <c r="I18" s="29" t="s">
        <v>168</v>
      </c>
      <c r="J18" s="22" t="str">
        <f t="shared" si="0"/>
        <v>000</v>
      </c>
      <c r="K18" s="28"/>
      <c r="L18" s="28"/>
      <c r="M18" s="37"/>
      <c r="N18" s="37"/>
    </row>
    <row r="19" spans="1:14">
      <c r="A19" s="26">
        <f t="shared" si="1"/>
        <v>10</v>
      </c>
      <c r="B19" s="27" t="s">
        <v>183</v>
      </c>
      <c r="C19" s="27" t="s">
        <v>170</v>
      </c>
      <c r="D19" s="27" t="s">
        <v>85</v>
      </c>
      <c r="E19" s="27" t="s">
        <v>163</v>
      </c>
      <c r="F19" s="27" t="s">
        <v>167</v>
      </c>
      <c r="G19" s="28">
        <f>IF($J19="000",_xlfn.XLOOKUP($D19,'WP5 Elec Plant 13-mo'!$A$10:$A$66,'WP5 Elec Plant 13-mo'!$D$10:$D$66,""),_xlfn.XLOOKUP($D19,'WP5 Elec Plant 13-mo'!$A$10:$A$66,'WP5 Elec Plant 13-mo'!$E$10:$E$66,""))</f>
        <v>6077493.0999999996</v>
      </c>
      <c r="H19" s="29">
        <f>IF($J19="000",_xlfn.XLOOKUP($D19,'WP5 Elec Plant 13-mo'!$A$10:$A$66,'WP5 Elec Plant 13-mo'!$AN$10:$AN$66,""),_xlfn.XLOOKUP($D19,'WP5 Elec Plant 13-mo'!$A$10:$A$66,'WP5 Elec Plant 13-mo'!$AO$10:$AO$66,""))</f>
        <v>6077493.0999999996</v>
      </c>
      <c r="I19" s="29" t="s">
        <v>171</v>
      </c>
      <c r="J19" s="22" t="str">
        <f t="shared" si="0"/>
        <v>000</v>
      </c>
      <c r="K19" s="28"/>
      <c r="L19" s="28"/>
      <c r="M19" s="37"/>
      <c r="N19" s="37"/>
    </row>
    <row r="20" spans="1:14">
      <c r="A20" s="26">
        <f t="shared" si="1"/>
        <v>11</v>
      </c>
      <c r="B20" s="27" t="s">
        <v>184</v>
      </c>
      <c r="C20" s="27" t="s">
        <v>185</v>
      </c>
      <c r="D20" s="27" t="s">
        <v>86</v>
      </c>
      <c r="E20" s="27" t="s">
        <v>163</v>
      </c>
      <c r="F20" s="27" t="s">
        <v>167</v>
      </c>
      <c r="G20" s="28">
        <f>IF($J20="000",_xlfn.XLOOKUP($D20,'WP5 Elec Plant 13-mo'!$A$10:$A$66,'WP5 Elec Plant 13-mo'!$D$10:$D$66,""),_xlfn.XLOOKUP($D20,'WP5 Elec Plant 13-mo'!$A$10:$A$66,'WP5 Elec Plant 13-mo'!$E$10:$E$66,""))</f>
        <v>12514552.750000002</v>
      </c>
      <c r="H20" s="29">
        <f>IF($J20="000",_xlfn.XLOOKUP($D20,'WP5 Elec Plant 13-mo'!$A$10:$A$66,'WP5 Elec Plant 13-mo'!$AN$10:$AN$66,""),_xlfn.XLOOKUP($D20,'WP5 Elec Plant 13-mo'!$A$10:$A$66,'WP5 Elec Plant 13-mo'!$AO$10:$AO$66,""))</f>
        <v>12514552.750000002</v>
      </c>
      <c r="I20" s="29" t="s">
        <v>171</v>
      </c>
      <c r="J20" s="22" t="str">
        <f t="shared" si="0"/>
        <v>000</v>
      </c>
      <c r="K20" s="28"/>
      <c r="L20" s="28"/>
      <c r="M20" s="37"/>
      <c r="N20" s="37"/>
    </row>
    <row r="21" spans="1:14">
      <c r="A21" s="26">
        <f t="shared" si="1"/>
        <v>12</v>
      </c>
      <c r="B21" s="27" t="s">
        <v>186</v>
      </c>
      <c r="C21" s="27" t="s">
        <v>187</v>
      </c>
      <c r="D21" s="27" t="s">
        <v>88</v>
      </c>
      <c r="E21" s="27" t="s">
        <v>163</v>
      </c>
      <c r="F21" s="27" t="s">
        <v>167</v>
      </c>
      <c r="G21" s="28">
        <f>IF($J21="000",_xlfn.XLOOKUP($D21,'WP5 Elec Plant 13-mo'!$A$10:$A$66,'WP5 Elec Plant 13-mo'!$D$10:$D$66,""),_xlfn.XLOOKUP($D21,'WP5 Elec Plant 13-mo'!$A$10:$A$66,'WP5 Elec Plant 13-mo'!$E$10:$E$66,""))</f>
        <v>22096401.800000001</v>
      </c>
      <c r="H21" s="29">
        <f>IF($J21="000",_xlfn.XLOOKUP($D21,'WP5 Elec Plant 13-mo'!$A$10:$A$66,'WP5 Elec Plant 13-mo'!$AN$10:$AN$66,""),_xlfn.XLOOKUP($D21,'WP5 Elec Plant 13-mo'!$A$10:$A$66,'WP5 Elec Plant 13-mo'!$AO$10:$AO$66,""))</f>
        <v>22191833.180000003</v>
      </c>
      <c r="I21" s="29" t="s">
        <v>171</v>
      </c>
      <c r="J21" s="22" t="str">
        <f t="shared" si="0"/>
        <v>000</v>
      </c>
      <c r="K21" s="28"/>
      <c r="L21" s="28"/>
      <c r="M21" s="37"/>
      <c r="N21" s="37"/>
    </row>
    <row r="22" spans="1:14">
      <c r="A22" s="26">
        <f t="shared" si="1"/>
        <v>13</v>
      </c>
      <c r="B22" s="27" t="s">
        <v>188</v>
      </c>
      <c r="C22" s="27" t="s">
        <v>179</v>
      </c>
      <c r="D22" s="27" t="s">
        <v>90</v>
      </c>
      <c r="E22" s="27" t="s">
        <v>163</v>
      </c>
      <c r="F22" s="27" t="s">
        <v>167</v>
      </c>
      <c r="G22" s="28">
        <f>IF($J22="000",_xlfn.XLOOKUP($D22,'WP5 Elec Plant 13-mo'!$A$10:$A$66,'WP5 Elec Plant 13-mo'!$D$10:$D$66,""),_xlfn.XLOOKUP($D22,'WP5 Elec Plant 13-mo'!$A$10:$A$66,'WP5 Elec Plant 13-mo'!$E$10:$E$66,""))</f>
        <v>3308872.6</v>
      </c>
      <c r="H22" s="29">
        <f>IF($J22="000",_xlfn.XLOOKUP($D22,'WP5 Elec Plant 13-mo'!$A$10:$A$66,'WP5 Elec Plant 13-mo'!$AN$10:$AN$66,""),_xlfn.XLOOKUP($D22,'WP5 Elec Plant 13-mo'!$A$10:$A$66,'WP5 Elec Plant 13-mo'!$AO$10:$AO$66,""))</f>
        <v>3308872.6</v>
      </c>
      <c r="I22" s="29" t="s">
        <v>171</v>
      </c>
      <c r="J22" s="22" t="str">
        <f t="shared" si="0"/>
        <v>000</v>
      </c>
      <c r="K22" s="28"/>
      <c r="L22" s="28"/>
      <c r="M22" s="37"/>
      <c r="N22" s="37"/>
    </row>
    <row r="23" spans="1:14">
      <c r="A23" s="26">
        <f t="shared" si="1"/>
        <v>14</v>
      </c>
      <c r="B23" s="27" t="s">
        <v>189</v>
      </c>
      <c r="C23" s="27" t="s">
        <v>181</v>
      </c>
      <c r="D23" s="27" t="s">
        <v>91</v>
      </c>
      <c r="E23" s="27" t="s">
        <v>163</v>
      </c>
      <c r="F23" s="27" t="s">
        <v>167</v>
      </c>
      <c r="G23" s="28">
        <f>IF($J23="000",_xlfn.XLOOKUP($D23,'WP5 Elec Plant 13-mo'!$A$10:$A$66,'WP5 Elec Plant 13-mo'!$D$10:$D$66,""),_xlfn.XLOOKUP($D23,'WP5 Elec Plant 13-mo'!$A$10:$A$66,'WP5 Elec Plant 13-mo'!$E$10:$E$66,""))</f>
        <v>387100.68</v>
      </c>
      <c r="H23" s="29">
        <f>IF($J23="000",_xlfn.XLOOKUP($D23,'WP5 Elec Plant 13-mo'!$A$10:$A$66,'WP5 Elec Plant 13-mo'!$AN$10:$AN$66,""),_xlfn.XLOOKUP($D23,'WP5 Elec Plant 13-mo'!$A$10:$A$66,'WP5 Elec Plant 13-mo'!$AO$10:$AO$66,""))</f>
        <v>387100.68</v>
      </c>
      <c r="I23" s="29" t="s">
        <v>171</v>
      </c>
      <c r="J23" s="22" t="str">
        <f t="shared" si="0"/>
        <v>000</v>
      </c>
      <c r="K23" s="28"/>
      <c r="L23" s="28"/>
      <c r="M23" s="37"/>
      <c r="N23" s="37"/>
    </row>
    <row r="24" spans="1:14">
      <c r="A24" s="26">
        <f t="shared" si="1"/>
        <v>15</v>
      </c>
      <c r="B24" s="27" t="s">
        <v>190</v>
      </c>
      <c r="C24" s="27" t="s">
        <v>181</v>
      </c>
      <c r="D24" s="27" t="s">
        <v>154</v>
      </c>
      <c r="E24" s="27" t="s">
        <v>163</v>
      </c>
      <c r="F24" s="27" t="s">
        <v>167</v>
      </c>
      <c r="G24" s="28">
        <f>IF($J24="000",_xlfn.XLOOKUP($D24,'WP5 Elec Plant 13-mo'!$A$10:$A$66,'WP5 Elec Plant 13-mo'!$D$10:$D$66,""),_xlfn.XLOOKUP($D24,'WP5 Elec Plant 13-mo'!$A$10:$A$66,'WP5 Elec Plant 13-mo'!$E$10:$E$66,""))</f>
        <v>0</v>
      </c>
      <c r="H24" s="29">
        <f>IF($J24="000",_xlfn.XLOOKUP($D24,'WP5 Elec Plant 13-mo'!$A$10:$A$66,'WP5 Elec Plant 13-mo'!$AN$10:$AN$66,""),_xlfn.XLOOKUP($D24,'WP5 Elec Plant 13-mo'!$A$10:$A$66,'WP5 Elec Plant 13-mo'!$AO$10:$AO$66,""))</f>
        <v>0</v>
      </c>
      <c r="I24" s="29" t="s">
        <v>171</v>
      </c>
      <c r="J24" s="22" t="str">
        <f t="shared" si="0"/>
        <v>000</v>
      </c>
      <c r="K24" s="28"/>
      <c r="L24" s="28"/>
      <c r="M24" s="37"/>
      <c r="N24" s="37"/>
    </row>
    <row r="25" spans="1:14">
      <c r="A25" s="26">
        <f t="shared" si="1"/>
        <v>16</v>
      </c>
      <c r="B25" s="27" t="s">
        <v>191</v>
      </c>
      <c r="C25" s="27" t="s">
        <v>166</v>
      </c>
      <c r="D25" s="27" t="s">
        <v>92</v>
      </c>
      <c r="E25" s="27" t="s">
        <v>163</v>
      </c>
      <c r="F25" s="27" t="s">
        <v>167</v>
      </c>
      <c r="G25" s="28">
        <f>IF($J25="000",_xlfn.XLOOKUP($D25,'WP5 Elec Plant 13-mo'!$A$10:$A$66,'WP5 Elec Plant 13-mo'!$D$10:$D$66,""),_xlfn.XLOOKUP($D25,'WP5 Elec Plant 13-mo'!$A$10:$A$66,'WP5 Elec Plant 13-mo'!$E$10:$E$66,""))</f>
        <v>1038572.94</v>
      </c>
      <c r="H25" s="29">
        <f>IF($J25="000",_xlfn.XLOOKUP($D25,'WP5 Elec Plant 13-mo'!$A$10:$A$66,'WP5 Elec Plant 13-mo'!$AN$10:$AN$66,""),_xlfn.XLOOKUP($D25,'WP5 Elec Plant 13-mo'!$A$10:$A$66,'WP5 Elec Plant 13-mo'!$AO$10:$AO$66,""))</f>
        <v>1038572.94</v>
      </c>
      <c r="I25" s="29" t="s">
        <v>168</v>
      </c>
      <c r="J25" s="22" t="str">
        <f t="shared" si="0"/>
        <v>000</v>
      </c>
      <c r="K25" s="28"/>
      <c r="L25" s="28"/>
      <c r="M25" s="37"/>
      <c r="N25" s="37"/>
    </row>
    <row r="26" spans="1:14">
      <c r="A26" s="26">
        <f t="shared" si="1"/>
        <v>17</v>
      </c>
      <c r="B26" s="27" t="s">
        <v>192</v>
      </c>
      <c r="C26" s="27" t="s">
        <v>170</v>
      </c>
      <c r="D26" s="27" t="s">
        <v>94</v>
      </c>
      <c r="E26" s="27" t="s">
        <v>163</v>
      </c>
      <c r="F26" s="27" t="s">
        <v>167</v>
      </c>
      <c r="G26" s="28">
        <f>IF($J26="000",_xlfn.XLOOKUP($D26,'WP5 Elec Plant 13-mo'!$A$10:$A$66,'WP5 Elec Plant 13-mo'!$D$10:$D$66,""),_xlfn.XLOOKUP($D26,'WP5 Elec Plant 13-mo'!$A$10:$A$66,'WP5 Elec Plant 13-mo'!$E$10:$E$66,""))</f>
        <v>25161662.379999999</v>
      </c>
      <c r="H26" s="29">
        <f>IF($J26="000",_xlfn.XLOOKUP($D26,'WP5 Elec Plant 13-mo'!$A$10:$A$66,'WP5 Elec Plant 13-mo'!$AN$10:$AN$66,""),_xlfn.XLOOKUP($D26,'WP5 Elec Plant 13-mo'!$A$10:$A$66,'WP5 Elec Plant 13-mo'!$AO$10:$AO$66,""))</f>
        <v>28806184.91</v>
      </c>
      <c r="I26" s="29" t="s">
        <v>171</v>
      </c>
      <c r="J26" s="22" t="str">
        <f t="shared" si="0"/>
        <v>000</v>
      </c>
      <c r="K26" s="28"/>
      <c r="L26" s="28"/>
      <c r="M26" s="37"/>
      <c r="N26" s="37"/>
    </row>
    <row r="27" spans="1:14">
      <c r="A27" s="26">
        <f t="shared" si="1"/>
        <v>18</v>
      </c>
      <c r="B27" s="27" t="s">
        <v>193</v>
      </c>
      <c r="C27" s="27" t="s">
        <v>194</v>
      </c>
      <c r="D27" s="27" t="s">
        <v>95</v>
      </c>
      <c r="E27" s="27" t="s">
        <v>163</v>
      </c>
      <c r="F27" s="27" t="s">
        <v>167</v>
      </c>
      <c r="G27" s="28">
        <f>IF($J27="000",_xlfn.XLOOKUP($D27,'WP5 Elec Plant 13-mo'!$A$10:$A$66,'WP5 Elec Plant 13-mo'!$D$10:$D$66,""),_xlfn.XLOOKUP($D27,'WP5 Elec Plant 13-mo'!$A$10:$A$66,'WP5 Elec Plant 13-mo'!$E$10:$E$66,""))</f>
        <v>8804404.7400000002</v>
      </c>
      <c r="H27" s="29">
        <f>IF($J27="000",_xlfn.XLOOKUP($D27,'WP5 Elec Plant 13-mo'!$A$10:$A$66,'WP5 Elec Plant 13-mo'!$AN$10:$AN$66,""),_xlfn.XLOOKUP($D27,'WP5 Elec Plant 13-mo'!$A$10:$A$66,'WP5 Elec Plant 13-mo'!$AO$10:$AO$66,""))</f>
        <v>8804404.7400000002</v>
      </c>
      <c r="I27" s="29" t="s">
        <v>171</v>
      </c>
      <c r="J27" s="22" t="str">
        <f t="shared" si="0"/>
        <v>000</v>
      </c>
      <c r="K27" s="28"/>
      <c r="L27" s="28"/>
      <c r="M27" s="37"/>
      <c r="N27" s="37"/>
    </row>
    <row r="28" spans="1:14">
      <c r="A28" s="26">
        <f t="shared" si="1"/>
        <v>19</v>
      </c>
      <c r="B28" s="27" t="s">
        <v>195</v>
      </c>
      <c r="C28" s="27" t="s">
        <v>196</v>
      </c>
      <c r="D28" s="27" t="s">
        <v>97</v>
      </c>
      <c r="E28" s="27" t="s">
        <v>163</v>
      </c>
      <c r="F28" s="27" t="s">
        <v>167</v>
      </c>
      <c r="G28" s="28">
        <f>IF($J28="000",_xlfn.XLOOKUP($D28,'WP5 Elec Plant 13-mo'!$A$10:$A$66,'WP5 Elec Plant 13-mo'!$D$10:$D$66,""),_xlfn.XLOOKUP($D28,'WP5 Elec Plant 13-mo'!$A$10:$A$66,'WP5 Elec Plant 13-mo'!$E$10:$E$66,""))</f>
        <v>353074868.56</v>
      </c>
      <c r="H28" s="29">
        <f>IF($J28="000",_xlfn.XLOOKUP($D28,'WP5 Elec Plant 13-mo'!$A$10:$A$66,'WP5 Elec Plant 13-mo'!$AN$10:$AN$66,""),_xlfn.XLOOKUP($D28,'WP5 Elec Plant 13-mo'!$A$10:$A$66,'WP5 Elec Plant 13-mo'!$AO$10:$AO$66,""))</f>
        <v>389964603.63999999</v>
      </c>
      <c r="I28" s="29" t="s">
        <v>171</v>
      </c>
      <c r="J28" s="22" t="str">
        <f t="shared" si="0"/>
        <v>000</v>
      </c>
      <c r="K28" s="28"/>
      <c r="L28" s="28"/>
      <c r="M28" s="37"/>
      <c r="N28" s="37"/>
    </row>
    <row r="29" spans="1:14">
      <c r="A29" s="26">
        <f t="shared" si="1"/>
        <v>20</v>
      </c>
      <c r="B29" s="27" t="s">
        <v>197</v>
      </c>
      <c r="C29" s="27" t="s">
        <v>198</v>
      </c>
      <c r="D29" s="27" t="s">
        <v>98</v>
      </c>
      <c r="E29" s="27" t="s">
        <v>163</v>
      </c>
      <c r="F29" s="27" t="s">
        <v>167</v>
      </c>
      <c r="G29" s="28">
        <f>IF($J29="000",_xlfn.XLOOKUP($D29,'WP5 Elec Plant 13-mo'!$A$10:$A$66,'WP5 Elec Plant 13-mo'!$D$10:$D$66,""),_xlfn.XLOOKUP($D29,'WP5 Elec Plant 13-mo'!$A$10:$A$66,'WP5 Elec Plant 13-mo'!$E$10:$E$66,""))</f>
        <v>114318093.3</v>
      </c>
      <c r="H29" s="29">
        <f>IF($J29="000",_xlfn.XLOOKUP($D29,'WP5 Elec Plant 13-mo'!$A$10:$A$66,'WP5 Elec Plant 13-mo'!$AN$10:$AN$66,""),_xlfn.XLOOKUP($D29,'WP5 Elec Plant 13-mo'!$A$10:$A$66,'WP5 Elec Plant 13-mo'!$AO$10:$AO$66,""))</f>
        <v>115204715.95</v>
      </c>
      <c r="I29" s="29" t="s">
        <v>171</v>
      </c>
      <c r="J29" s="22" t="str">
        <f t="shared" si="0"/>
        <v>000</v>
      </c>
      <c r="K29" s="28"/>
      <c r="L29" s="28"/>
      <c r="M29" s="37"/>
      <c r="N29" s="37"/>
    </row>
    <row r="30" spans="1:14">
      <c r="A30" s="26">
        <f t="shared" si="1"/>
        <v>21</v>
      </c>
      <c r="B30" s="27" t="s">
        <v>199</v>
      </c>
      <c r="C30" s="27" t="s">
        <v>198</v>
      </c>
      <c r="D30" s="27" t="s">
        <v>100</v>
      </c>
      <c r="E30" s="27" t="s">
        <v>163</v>
      </c>
      <c r="F30" s="27" t="s">
        <v>167</v>
      </c>
      <c r="G30" s="28">
        <f>IF($J30="000",_xlfn.XLOOKUP($D30,'WP5 Elec Plant 13-mo'!$A$10:$A$66,'WP5 Elec Plant 13-mo'!$D$10:$D$66,""),_xlfn.XLOOKUP($D30,'WP5 Elec Plant 13-mo'!$A$10:$A$66,'WP5 Elec Plant 13-mo'!$E$10:$E$66,""))</f>
        <v>12661492.559999999</v>
      </c>
      <c r="H30" s="29">
        <f>IF($J30="000",_xlfn.XLOOKUP($D30,'WP5 Elec Plant 13-mo'!$A$10:$A$66,'WP5 Elec Plant 13-mo'!$AN$10:$AN$66,""),_xlfn.XLOOKUP($D30,'WP5 Elec Plant 13-mo'!$A$10:$A$66,'WP5 Elec Plant 13-mo'!$AO$10:$AO$66,""))</f>
        <v>13595680.889999999</v>
      </c>
      <c r="I30" s="29" t="s">
        <v>171</v>
      </c>
      <c r="J30" s="22" t="str">
        <f t="shared" si="0"/>
        <v>000</v>
      </c>
      <c r="K30" s="28"/>
      <c r="L30" s="28"/>
      <c r="M30" s="37"/>
      <c r="N30" s="37"/>
    </row>
    <row r="31" spans="1:14">
      <c r="A31" s="26">
        <f t="shared" si="1"/>
        <v>22</v>
      </c>
      <c r="B31" s="27" t="s">
        <v>200</v>
      </c>
      <c r="C31" s="27" t="s">
        <v>181</v>
      </c>
      <c r="D31" s="27" t="s">
        <v>101</v>
      </c>
      <c r="E31" s="27" t="s">
        <v>163</v>
      </c>
      <c r="F31" s="27" t="s">
        <v>167</v>
      </c>
      <c r="G31" s="28">
        <f>IF($J31="000",_xlfn.XLOOKUP($D31,'WP5 Elec Plant 13-mo'!$A$10:$A$66,'WP5 Elec Plant 13-mo'!$D$10:$D$66,""),_xlfn.XLOOKUP($D31,'WP5 Elec Plant 13-mo'!$A$10:$A$66,'WP5 Elec Plant 13-mo'!$E$10:$E$66,""))</f>
        <v>24003366.319999997</v>
      </c>
      <c r="H31" s="29">
        <f>IF($J31="000",_xlfn.XLOOKUP($D31,'WP5 Elec Plant 13-mo'!$A$10:$A$66,'WP5 Elec Plant 13-mo'!$AN$10:$AN$66,""),_xlfn.XLOOKUP($D31,'WP5 Elec Plant 13-mo'!$A$10:$A$66,'WP5 Elec Plant 13-mo'!$AO$10:$AO$66,""))</f>
        <v>23940746.949999999</v>
      </c>
      <c r="I31" s="29" t="s">
        <v>171</v>
      </c>
      <c r="J31" s="22" t="str">
        <f t="shared" si="0"/>
        <v>000</v>
      </c>
      <c r="K31" s="28"/>
      <c r="L31" s="28"/>
      <c r="M31" s="37"/>
      <c r="N31" s="37"/>
    </row>
    <row r="32" spans="1:14">
      <c r="A32" s="26">
        <f t="shared" si="1"/>
        <v>23</v>
      </c>
      <c r="B32" s="27" t="s">
        <v>201</v>
      </c>
      <c r="C32" s="27" t="s">
        <v>166</v>
      </c>
      <c r="D32" s="27" t="s">
        <v>102</v>
      </c>
      <c r="E32" s="27" t="s">
        <v>163</v>
      </c>
      <c r="F32" s="27" t="s">
        <v>202</v>
      </c>
      <c r="G32" s="28">
        <f>IF($J32="000",_xlfn.XLOOKUP($D32,'WP5 Elec Plant 13-mo'!$A$10:$A$66,'WP5 Elec Plant 13-mo'!$D$10:$D$66,""),_xlfn.XLOOKUP($D32,'WP5 Elec Plant 13-mo'!$A$10:$A$66,'WP5 Elec Plant 13-mo'!$E$10:$E$66,""))</f>
        <v>15089020.779999999</v>
      </c>
      <c r="H32" s="29">
        <f>IF($J32="000",_xlfn.XLOOKUP($D32,'WP5 Elec Plant 13-mo'!$A$10:$A$66,'WP5 Elec Plant 13-mo'!$AN$10:$AN$66,""),_xlfn.XLOOKUP($D32,'WP5 Elec Plant 13-mo'!$A$10:$A$66,'WP5 Elec Plant 13-mo'!$AO$10:$AO$66,""))</f>
        <v>15089020.779999999</v>
      </c>
      <c r="I32" s="29" t="s">
        <v>168</v>
      </c>
      <c r="J32" s="22" t="str">
        <f t="shared" si="0"/>
        <v>000</v>
      </c>
      <c r="K32" s="28"/>
      <c r="L32" s="28"/>
      <c r="M32" s="37"/>
      <c r="N32" s="37"/>
    </row>
    <row r="33" spans="1:14">
      <c r="A33" s="26">
        <f t="shared" si="1"/>
        <v>24</v>
      </c>
      <c r="B33" s="27" t="s">
        <v>203</v>
      </c>
      <c r="C33" s="27" t="s">
        <v>170</v>
      </c>
      <c r="D33" s="27" t="s">
        <v>103</v>
      </c>
      <c r="E33" s="27" t="s">
        <v>163</v>
      </c>
      <c r="F33" s="27" t="s">
        <v>202</v>
      </c>
      <c r="G33" s="28">
        <f>IF($J33="000",_xlfn.XLOOKUP($D33,'WP5 Elec Plant 13-mo'!$A$10:$A$66,'WP5 Elec Plant 13-mo'!$D$10:$D$66,""),_xlfn.XLOOKUP($D33,'WP5 Elec Plant 13-mo'!$A$10:$A$66,'WP5 Elec Plant 13-mo'!$E$10:$E$66,""))</f>
        <v>36418231.189999998</v>
      </c>
      <c r="H33" s="29">
        <f>IF($J33="000",_xlfn.XLOOKUP($D33,'WP5 Elec Plant 13-mo'!$A$10:$A$66,'WP5 Elec Plant 13-mo'!$AN$10:$AN$66,""),_xlfn.XLOOKUP($D33,'WP5 Elec Plant 13-mo'!$A$10:$A$66,'WP5 Elec Plant 13-mo'!$AO$10:$AO$66,""))</f>
        <v>122986122.70999998</v>
      </c>
      <c r="I33" s="29" t="s">
        <v>171</v>
      </c>
      <c r="J33" s="22" t="str">
        <f t="shared" si="0"/>
        <v>000</v>
      </c>
      <c r="K33" s="28"/>
      <c r="L33" s="28"/>
      <c r="M33" s="37"/>
      <c r="N33" s="37"/>
    </row>
    <row r="34" spans="1:14">
      <c r="A34" s="26">
        <f t="shared" si="1"/>
        <v>25</v>
      </c>
      <c r="B34" s="27" t="s">
        <v>204</v>
      </c>
      <c r="C34" s="27" t="s">
        <v>87</v>
      </c>
      <c r="D34" s="27" t="s">
        <v>106</v>
      </c>
      <c r="E34" s="27" t="s">
        <v>163</v>
      </c>
      <c r="F34" s="27" t="s">
        <v>202</v>
      </c>
      <c r="G34" s="28">
        <f>IF($J34="000",_xlfn.XLOOKUP($D34,'WP5 Elec Plant 13-mo'!$A$10:$A$66,'WP5 Elec Plant 13-mo'!$D$10:$D$66,""),_xlfn.XLOOKUP($D34,'WP5 Elec Plant 13-mo'!$A$10:$A$66,'WP5 Elec Plant 13-mo'!$E$10:$E$66,""))</f>
        <v>129562763.89</v>
      </c>
      <c r="H34" s="29">
        <f>IF($J34="000",_xlfn.XLOOKUP($D34,'WP5 Elec Plant 13-mo'!$A$10:$A$66,'WP5 Elec Plant 13-mo'!$AN$10:$AN$66,""),_xlfn.XLOOKUP($D34,'WP5 Elec Plant 13-mo'!$A$10:$A$66,'WP5 Elec Plant 13-mo'!$AO$10:$AO$66,""))</f>
        <v>136246430.38999999</v>
      </c>
      <c r="I34" s="29" t="s">
        <v>171</v>
      </c>
      <c r="J34" s="22" t="str">
        <f t="shared" si="0"/>
        <v>000</v>
      </c>
      <c r="K34" s="28"/>
      <c r="L34" s="28"/>
      <c r="M34" s="37"/>
      <c r="N34" s="37"/>
    </row>
    <row r="35" spans="1:14">
      <c r="A35" s="26">
        <f t="shared" si="1"/>
        <v>26</v>
      </c>
      <c r="B35" s="27" t="s">
        <v>205</v>
      </c>
      <c r="C35" s="27" t="s">
        <v>206</v>
      </c>
      <c r="D35" s="27" t="s">
        <v>107</v>
      </c>
      <c r="E35" s="27" t="s">
        <v>163</v>
      </c>
      <c r="F35" s="27" t="s">
        <v>202</v>
      </c>
      <c r="G35" s="28">
        <f>IF($J35="000",_xlfn.XLOOKUP($D35,'WP5 Elec Plant 13-mo'!$A$10:$A$66,'WP5 Elec Plant 13-mo'!$D$10:$D$66,""),_xlfn.XLOOKUP($D35,'WP5 Elec Plant 13-mo'!$A$10:$A$66,'WP5 Elec Plant 13-mo'!$E$10:$E$66,""))</f>
        <v>5374260.5599999996</v>
      </c>
      <c r="H35" s="29">
        <f>IF($J35="000",_xlfn.XLOOKUP($D35,'WP5 Elec Plant 13-mo'!$A$10:$A$66,'WP5 Elec Plant 13-mo'!$AN$10:$AN$66,""),_xlfn.XLOOKUP($D35,'WP5 Elec Plant 13-mo'!$A$10:$A$66,'WP5 Elec Plant 13-mo'!$AO$10:$AO$66,""))</f>
        <v>6148547.2999999998</v>
      </c>
      <c r="I35" s="29" t="s">
        <v>171</v>
      </c>
      <c r="J35" s="22" t="str">
        <f t="shared" si="0"/>
        <v>000</v>
      </c>
      <c r="K35" s="28"/>
      <c r="L35" s="28"/>
      <c r="M35" s="37"/>
      <c r="N35" s="37"/>
    </row>
    <row r="36" spans="1:14">
      <c r="A36" s="26">
        <f t="shared" si="1"/>
        <v>27</v>
      </c>
      <c r="B36" s="27" t="s">
        <v>207</v>
      </c>
      <c r="C36" s="27" t="s">
        <v>208</v>
      </c>
      <c r="D36" s="27" t="s">
        <v>108</v>
      </c>
      <c r="E36" s="27" t="s">
        <v>163</v>
      </c>
      <c r="F36" s="27" t="s">
        <v>202</v>
      </c>
      <c r="G36" s="28">
        <f>IF($J36="000",_xlfn.XLOOKUP($D36,'WP5 Elec Plant 13-mo'!$A$10:$A$66,'WP5 Elec Plant 13-mo'!$D$10:$D$66,""),_xlfn.XLOOKUP($D36,'WP5 Elec Plant 13-mo'!$A$10:$A$66,'WP5 Elec Plant 13-mo'!$E$10:$E$66,""))</f>
        <v>26156420.02</v>
      </c>
      <c r="H36" s="29">
        <f>IF($J36="000",_xlfn.XLOOKUP($D36,'WP5 Elec Plant 13-mo'!$A$10:$A$66,'WP5 Elec Plant 13-mo'!$AN$10:$AN$66,""),_xlfn.XLOOKUP($D36,'WP5 Elec Plant 13-mo'!$A$10:$A$66,'WP5 Elec Plant 13-mo'!$AO$10:$AO$66,""))</f>
        <v>26444675.719999999</v>
      </c>
      <c r="I36" s="29" t="s">
        <v>171</v>
      </c>
      <c r="J36" s="22" t="str">
        <f t="shared" si="0"/>
        <v>000</v>
      </c>
      <c r="K36" s="28"/>
      <c r="L36" s="28"/>
      <c r="M36" s="37"/>
      <c r="N36" s="37"/>
    </row>
    <row r="37" spans="1:14">
      <c r="A37" s="26">
        <f t="shared" si="1"/>
        <v>28</v>
      </c>
      <c r="B37" s="27" t="s">
        <v>209</v>
      </c>
      <c r="C37" s="27" t="s">
        <v>210</v>
      </c>
      <c r="D37" s="27" t="s">
        <v>109</v>
      </c>
      <c r="E37" s="27" t="s">
        <v>163</v>
      </c>
      <c r="F37" s="27" t="s">
        <v>202</v>
      </c>
      <c r="G37" s="28">
        <f>IF($J37="000",_xlfn.XLOOKUP($D37,'WP5 Elec Plant 13-mo'!$A$10:$A$66,'WP5 Elec Plant 13-mo'!$D$10:$D$66,""),_xlfn.XLOOKUP($D37,'WP5 Elec Plant 13-mo'!$A$10:$A$66,'WP5 Elec Plant 13-mo'!$E$10:$E$66,""))</f>
        <v>11328775.960000001</v>
      </c>
      <c r="H37" s="29">
        <f>IF($J37="000",_xlfn.XLOOKUP($D37,'WP5 Elec Plant 13-mo'!$A$10:$A$66,'WP5 Elec Plant 13-mo'!$AN$10:$AN$66,""),_xlfn.XLOOKUP($D37,'WP5 Elec Plant 13-mo'!$A$10:$A$66,'WP5 Elec Plant 13-mo'!$AO$10:$AO$66,""))</f>
        <v>11371768.260000002</v>
      </c>
      <c r="I37" s="29" t="s">
        <v>171</v>
      </c>
      <c r="J37" s="22" t="str">
        <f t="shared" si="0"/>
        <v>000</v>
      </c>
      <c r="K37" s="28"/>
      <c r="L37" s="28"/>
      <c r="M37" s="37"/>
      <c r="N37" s="37"/>
    </row>
    <row r="38" spans="1:14">
      <c r="A38" s="26">
        <f t="shared" si="1"/>
        <v>29</v>
      </c>
      <c r="B38" s="27" t="s">
        <v>211</v>
      </c>
      <c r="C38" s="27" t="s">
        <v>93</v>
      </c>
      <c r="D38" s="27" t="s">
        <v>110</v>
      </c>
      <c r="E38" s="27" t="s">
        <v>163</v>
      </c>
      <c r="F38" s="27" t="s">
        <v>202</v>
      </c>
      <c r="G38" s="28">
        <f>IF($J38="000",_xlfn.XLOOKUP($D38,'WP5 Elec Plant 13-mo'!$A$10:$A$66,'WP5 Elec Plant 13-mo'!$D$10:$D$66,""),_xlfn.XLOOKUP($D38,'WP5 Elec Plant 13-mo'!$A$10:$A$66,'WP5 Elec Plant 13-mo'!$E$10:$E$66,""))</f>
        <v>22764649.190000001</v>
      </c>
      <c r="H38" s="29">
        <f>IF($J38="000",_xlfn.XLOOKUP($D38,'WP5 Elec Plant 13-mo'!$A$10:$A$66,'WP5 Elec Plant 13-mo'!$AN$10:$AN$66,""),_xlfn.XLOOKUP($D38,'WP5 Elec Plant 13-mo'!$A$10:$A$66,'WP5 Elec Plant 13-mo'!$AO$10:$AO$66,""))</f>
        <v>22764649.190000001</v>
      </c>
      <c r="I38" s="29" t="s">
        <v>171</v>
      </c>
      <c r="J38" s="22" t="str">
        <f t="shared" si="0"/>
        <v>000</v>
      </c>
      <c r="K38" s="28"/>
      <c r="L38" s="28"/>
      <c r="M38" s="37"/>
      <c r="N38" s="37"/>
    </row>
    <row r="39" spans="1:14">
      <c r="A39" s="26">
        <f t="shared" si="1"/>
        <v>30</v>
      </c>
      <c r="B39" s="27" t="s">
        <v>212</v>
      </c>
      <c r="C39" s="27" t="s">
        <v>213</v>
      </c>
      <c r="D39" s="27" t="s">
        <v>111</v>
      </c>
      <c r="E39" s="27" t="s">
        <v>163</v>
      </c>
      <c r="F39" s="27" t="s">
        <v>202</v>
      </c>
      <c r="G39" s="28">
        <f>IF($J39="000",_xlfn.XLOOKUP($D39,'WP5 Elec Plant 13-mo'!$A$10:$A$66,'WP5 Elec Plant 13-mo'!$D$10:$D$66,""),_xlfn.XLOOKUP($D39,'WP5 Elec Plant 13-mo'!$A$10:$A$66,'WP5 Elec Plant 13-mo'!$E$10:$E$66,""))</f>
        <v>12268816.18</v>
      </c>
      <c r="H39" s="29">
        <f>IF($J39="000",_xlfn.XLOOKUP($D39,'WP5 Elec Plant 13-mo'!$A$10:$A$66,'WP5 Elec Plant 13-mo'!$AN$10:$AN$66,""),_xlfn.XLOOKUP($D39,'WP5 Elec Plant 13-mo'!$A$10:$A$66,'WP5 Elec Plant 13-mo'!$AO$10:$AO$66,""))</f>
        <v>12268816.18</v>
      </c>
      <c r="I39" s="29" t="s">
        <v>171</v>
      </c>
      <c r="J39" s="22" t="str">
        <f t="shared" si="0"/>
        <v>000</v>
      </c>
      <c r="K39" s="28"/>
      <c r="L39" s="28"/>
      <c r="M39" s="37"/>
      <c r="N39" s="37"/>
    </row>
    <row r="40" spans="1:14">
      <c r="A40" s="26">
        <f t="shared" si="1"/>
        <v>31</v>
      </c>
      <c r="B40" s="27" t="s">
        <v>214</v>
      </c>
      <c r="C40" s="27" t="s">
        <v>215</v>
      </c>
      <c r="D40" s="27" t="s">
        <v>112</v>
      </c>
      <c r="E40" s="27" t="s">
        <v>163</v>
      </c>
      <c r="F40" s="27" t="s">
        <v>202</v>
      </c>
      <c r="G40" s="28">
        <f>IF($J40="000",_xlfn.XLOOKUP($D40,'WP5 Elec Plant 13-mo'!$A$10:$A$66,'WP5 Elec Plant 13-mo'!$D$10:$D$66,""),_xlfn.XLOOKUP($D40,'WP5 Elec Plant 13-mo'!$A$10:$A$66,'WP5 Elec Plant 13-mo'!$E$10:$E$66,""))</f>
        <v>23857.22</v>
      </c>
      <c r="H40" s="29">
        <f>IF($J40="000",_xlfn.XLOOKUP($D40,'WP5 Elec Plant 13-mo'!$A$10:$A$66,'WP5 Elec Plant 13-mo'!$AN$10:$AN$66,""),_xlfn.XLOOKUP($D40,'WP5 Elec Plant 13-mo'!$A$10:$A$66,'WP5 Elec Plant 13-mo'!$AO$10:$AO$66,""))</f>
        <v>23857.22</v>
      </c>
      <c r="I40" s="29" t="s">
        <v>171</v>
      </c>
      <c r="J40" s="22" t="str">
        <f t="shared" si="0"/>
        <v>000</v>
      </c>
      <c r="K40" s="28"/>
      <c r="L40" s="28"/>
      <c r="M40" s="37"/>
      <c r="N40" s="37"/>
    </row>
    <row r="41" spans="1:14">
      <c r="A41" s="26">
        <f t="shared" si="1"/>
        <v>32</v>
      </c>
      <c r="B41" s="27" t="s">
        <v>216</v>
      </c>
      <c r="C41" s="27" t="s">
        <v>166</v>
      </c>
      <c r="D41" s="27" t="s">
        <v>113</v>
      </c>
      <c r="E41" s="27" t="s">
        <v>163</v>
      </c>
      <c r="F41" s="27" t="s">
        <v>217</v>
      </c>
      <c r="G41" s="28">
        <f>IF($J41="000",_xlfn.XLOOKUP($D41,'WP5 Elec Plant 13-mo'!$A$10:$A$66,'WP5 Elec Plant 13-mo'!$D$10:$D$66,""),_xlfn.XLOOKUP($D41,'WP5 Elec Plant 13-mo'!$A$10:$A$66,'WP5 Elec Plant 13-mo'!$E$10:$E$66,""))</f>
        <v>3428458.71</v>
      </c>
      <c r="H41" s="29">
        <f>IF($J41="000",_xlfn.XLOOKUP($D41,'WP5 Elec Plant 13-mo'!$A$10:$A$66,'WP5 Elec Plant 13-mo'!$AN$10:$AN$66,""),_xlfn.XLOOKUP($D41,'WP5 Elec Plant 13-mo'!$A$10:$A$66,'WP5 Elec Plant 13-mo'!$AO$10:$AO$66,""))</f>
        <v>3428458.71</v>
      </c>
      <c r="I41" s="29" t="s">
        <v>168</v>
      </c>
      <c r="J41" s="22" t="str">
        <f t="shared" si="0"/>
        <v>000</v>
      </c>
      <c r="K41" s="28"/>
      <c r="L41" s="28"/>
      <c r="M41" s="37"/>
      <c r="N41" s="37"/>
    </row>
    <row r="42" spans="1:14">
      <c r="A42" s="26">
        <f t="shared" si="1"/>
        <v>33</v>
      </c>
      <c r="B42" s="27" t="s">
        <v>218</v>
      </c>
      <c r="C42" s="27" t="s">
        <v>170</v>
      </c>
      <c r="D42" s="27" t="s">
        <v>114</v>
      </c>
      <c r="E42" s="27" t="s">
        <v>163</v>
      </c>
      <c r="F42" s="27" t="s">
        <v>217</v>
      </c>
      <c r="G42" s="28">
        <f>IF($J42="000",_xlfn.XLOOKUP($D42,'WP5 Elec Plant 13-mo'!$A$10:$A$66,'WP5 Elec Plant 13-mo'!$D$10:$D$66,""),_xlfn.XLOOKUP($D42,'WP5 Elec Plant 13-mo'!$A$10:$A$66,'WP5 Elec Plant 13-mo'!$E$10:$E$66,""))</f>
        <v>30802959.599999998</v>
      </c>
      <c r="H42" s="29">
        <f>IF($J42="000",_xlfn.XLOOKUP($D42,'WP5 Elec Plant 13-mo'!$A$10:$A$66,'WP5 Elec Plant 13-mo'!$AN$10:$AN$66,""),_xlfn.XLOOKUP($D42,'WP5 Elec Plant 13-mo'!$A$10:$A$66,'WP5 Elec Plant 13-mo'!$AO$10:$AO$66,""))</f>
        <v>30805501.459999997</v>
      </c>
      <c r="I42" s="29" t="s">
        <v>171</v>
      </c>
      <c r="J42" s="22" t="str">
        <f t="shared" si="0"/>
        <v>000</v>
      </c>
      <c r="K42" s="28"/>
      <c r="L42" s="28"/>
      <c r="M42" s="37"/>
      <c r="N42" s="37"/>
    </row>
    <row r="43" spans="1:14">
      <c r="A43" s="26">
        <f t="shared" si="1"/>
        <v>34</v>
      </c>
      <c r="B43" s="27" t="s">
        <v>219</v>
      </c>
      <c r="C43" s="27" t="s">
        <v>87</v>
      </c>
      <c r="D43" s="27" t="s">
        <v>115</v>
      </c>
      <c r="E43" s="27" t="s">
        <v>163</v>
      </c>
      <c r="F43" s="27" t="s">
        <v>217</v>
      </c>
      <c r="G43" s="28">
        <f>IF($J43="000",_xlfn.XLOOKUP($D43,'WP5 Elec Plant 13-mo'!$A$10:$A$66,'WP5 Elec Plant 13-mo'!$D$10:$D$66,""),_xlfn.XLOOKUP($D43,'WP5 Elec Plant 13-mo'!$A$10:$A$66,'WP5 Elec Plant 13-mo'!$E$10:$E$66,""))</f>
        <v>154787912.92000002</v>
      </c>
      <c r="H43" s="29">
        <f>IF($J43="000",_xlfn.XLOOKUP($D43,'WP5 Elec Plant 13-mo'!$A$10:$A$66,'WP5 Elec Plant 13-mo'!$AN$10:$AN$66,""),_xlfn.XLOOKUP($D43,'WP5 Elec Plant 13-mo'!$A$10:$A$66,'WP5 Elec Plant 13-mo'!$AO$10:$AO$66,""))</f>
        <v>156646049.97999999</v>
      </c>
      <c r="I43" s="29" t="s">
        <v>171</v>
      </c>
      <c r="J43" s="22" t="str">
        <f t="shared" si="0"/>
        <v>000</v>
      </c>
      <c r="K43" s="28"/>
      <c r="L43" s="28"/>
      <c r="M43" s="37"/>
      <c r="N43" s="37"/>
    </row>
    <row r="44" spans="1:14">
      <c r="A44" s="26">
        <f t="shared" si="1"/>
        <v>35</v>
      </c>
      <c r="B44" s="27" t="s">
        <v>220</v>
      </c>
      <c r="C44" s="27" t="s">
        <v>89</v>
      </c>
      <c r="D44" s="27" t="s">
        <v>116</v>
      </c>
      <c r="E44" s="27" t="s">
        <v>163</v>
      </c>
      <c r="F44" s="27" t="s">
        <v>217</v>
      </c>
      <c r="G44" s="28">
        <f>IF($J44="000",_xlfn.XLOOKUP($D44,'WP5 Elec Plant 13-mo'!$A$10:$A$66,'WP5 Elec Plant 13-mo'!$D$10:$D$66,""),_xlfn.XLOOKUP($D44,'WP5 Elec Plant 13-mo'!$A$10:$A$66,'WP5 Elec Plant 13-mo'!$E$10:$E$66,""))</f>
        <v>2102488.11</v>
      </c>
      <c r="H44" s="29">
        <f>IF($J44="000",_xlfn.XLOOKUP($D44,'WP5 Elec Plant 13-mo'!$A$10:$A$66,'WP5 Elec Plant 13-mo'!$AN$10:$AN$66,""),_xlfn.XLOOKUP($D44,'WP5 Elec Plant 13-mo'!$A$10:$A$66,'WP5 Elec Plant 13-mo'!$AO$10:$AO$66,""))</f>
        <v>2222867.44</v>
      </c>
      <c r="I44" s="29" t="s">
        <v>171</v>
      </c>
      <c r="J44" s="22" t="str">
        <f t="shared" si="0"/>
        <v>000</v>
      </c>
      <c r="K44" s="28"/>
      <c r="L44" s="28"/>
      <c r="M44" s="37"/>
      <c r="N44" s="37"/>
    </row>
    <row r="45" spans="1:14">
      <c r="A45" s="26">
        <f t="shared" si="1"/>
        <v>36</v>
      </c>
      <c r="B45" s="27" t="s">
        <v>221</v>
      </c>
      <c r="C45" s="27" t="s">
        <v>222</v>
      </c>
      <c r="D45" s="27" t="s">
        <v>117</v>
      </c>
      <c r="E45" s="27" t="s">
        <v>163</v>
      </c>
      <c r="F45" s="27" t="s">
        <v>217</v>
      </c>
      <c r="G45" s="28">
        <f>IF($J45="000",_xlfn.XLOOKUP($D45,'WP5 Elec Plant 13-mo'!$A$10:$A$66,'WP5 Elec Plant 13-mo'!$D$10:$D$66,""),_xlfn.XLOOKUP($D45,'WP5 Elec Plant 13-mo'!$A$10:$A$66,'WP5 Elec Plant 13-mo'!$E$10:$E$66,""))</f>
        <v>94638276.829999998</v>
      </c>
      <c r="H45" s="29">
        <f>IF($J45="000",_xlfn.XLOOKUP($D45,'WP5 Elec Plant 13-mo'!$A$10:$A$66,'WP5 Elec Plant 13-mo'!$AN$10:$AN$66,""),_xlfn.XLOOKUP($D45,'WP5 Elec Plant 13-mo'!$A$10:$A$66,'WP5 Elec Plant 13-mo'!$AO$10:$AO$66,""))</f>
        <v>97020595.609999999</v>
      </c>
      <c r="I45" s="29" t="s">
        <v>171</v>
      </c>
      <c r="J45" s="22" t="str">
        <f t="shared" si="0"/>
        <v>000</v>
      </c>
      <c r="K45" s="28"/>
      <c r="L45" s="28"/>
      <c r="M45" s="37"/>
      <c r="N45" s="37"/>
    </row>
    <row r="46" spans="1:14">
      <c r="A46" s="26">
        <f t="shared" si="1"/>
        <v>37</v>
      </c>
      <c r="B46" s="27" t="s">
        <v>223</v>
      </c>
      <c r="C46" s="27" t="s">
        <v>210</v>
      </c>
      <c r="D46" s="27" t="s">
        <v>118</v>
      </c>
      <c r="E46" s="27" t="s">
        <v>163</v>
      </c>
      <c r="F46" s="27" t="s">
        <v>217</v>
      </c>
      <c r="G46" s="28">
        <f>IF($J46="000",_xlfn.XLOOKUP($D46,'WP5 Elec Plant 13-mo'!$A$10:$A$66,'WP5 Elec Plant 13-mo'!$D$10:$D$66,""),_xlfn.XLOOKUP($D46,'WP5 Elec Plant 13-mo'!$A$10:$A$66,'WP5 Elec Plant 13-mo'!$E$10:$E$66,""))</f>
        <v>57085790.529999994</v>
      </c>
      <c r="H46" s="29">
        <f>IF($J46="000",_xlfn.XLOOKUP($D46,'WP5 Elec Plant 13-mo'!$A$10:$A$66,'WP5 Elec Plant 13-mo'!$AN$10:$AN$66,""),_xlfn.XLOOKUP($D46,'WP5 Elec Plant 13-mo'!$A$10:$A$66,'WP5 Elec Plant 13-mo'!$AO$10:$AO$66,""))</f>
        <v>58084135.459999993</v>
      </c>
      <c r="I46" s="29" t="s">
        <v>171</v>
      </c>
      <c r="J46" s="22" t="str">
        <f t="shared" si="0"/>
        <v>000</v>
      </c>
      <c r="K46" s="28"/>
      <c r="L46" s="28"/>
      <c r="M46" s="37"/>
      <c r="N46" s="37"/>
    </row>
    <row r="47" spans="1:14">
      <c r="A47" s="26">
        <f t="shared" si="1"/>
        <v>38</v>
      </c>
      <c r="B47" s="27" t="s">
        <v>224</v>
      </c>
      <c r="C47" s="27" t="s">
        <v>93</v>
      </c>
      <c r="D47" s="27" t="s">
        <v>119</v>
      </c>
      <c r="E47" s="27" t="s">
        <v>163</v>
      </c>
      <c r="F47" s="27" t="s">
        <v>217</v>
      </c>
      <c r="G47" s="28">
        <f>IF($J47="000",_xlfn.XLOOKUP($D47,'WP5 Elec Plant 13-mo'!$A$10:$A$66,'WP5 Elec Plant 13-mo'!$D$10:$D$66,""),_xlfn.XLOOKUP($D47,'WP5 Elec Plant 13-mo'!$A$10:$A$66,'WP5 Elec Plant 13-mo'!$E$10:$E$66,""))</f>
        <v>317880498.25</v>
      </c>
      <c r="H47" s="29">
        <f>IF($J47="000",_xlfn.XLOOKUP($D47,'WP5 Elec Plant 13-mo'!$A$10:$A$66,'WP5 Elec Plant 13-mo'!$AN$10:$AN$66,""),_xlfn.XLOOKUP($D47,'WP5 Elec Plant 13-mo'!$A$10:$A$66,'WP5 Elec Plant 13-mo'!$AO$10:$AO$66,""))</f>
        <v>335113264.17000002</v>
      </c>
      <c r="I47" s="29" t="s">
        <v>171</v>
      </c>
      <c r="J47" s="22" t="str">
        <f t="shared" si="0"/>
        <v>000</v>
      </c>
      <c r="K47" s="28"/>
      <c r="L47" s="28"/>
      <c r="M47" s="37"/>
      <c r="N47" s="37"/>
    </row>
    <row r="48" spans="1:14">
      <c r="A48" s="26">
        <f t="shared" si="1"/>
        <v>39</v>
      </c>
      <c r="B48" s="27" t="s">
        <v>225</v>
      </c>
      <c r="C48" s="27" t="s">
        <v>213</v>
      </c>
      <c r="D48" s="27" t="s">
        <v>120</v>
      </c>
      <c r="E48" s="27" t="s">
        <v>163</v>
      </c>
      <c r="F48" s="27" t="s">
        <v>217</v>
      </c>
      <c r="G48" s="28">
        <f>IF($J48="000",_xlfn.XLOOKUP($D48,'WP5 Elec Plant 13-mo'!$A$10:$A$66,'WP5 Elec Plant 13-mo'!$D$10:$D$66,""),_xlfn.XLOOKUP($D48,'WP5 Elec Plant 13-mo'!$A$10:$A$66,'WP5 Elec Plant 13-mo'!$E$10:$E$66,""))</f>
        <v>336150823.79000002</v>
      </c>
      <c r="H48" s="29">
        <f>IF($J48="000",_xlfn.XLOOKUP($D48,'WP5 Elec Plant 13-mo'!$A$10:$A$66,'WP5 Elec Plant 13-mo'!$AN$10:$AN$66,""),_xlfn.XLOOKUP($D48,'WP5 Elec Plant 13-mo'!$A$10:$A$66,'WP5 Elec Plant 13-mo'!$AO$10:$AO$66,""))</f>
        <v>357104634.07000005</v>
      </c>
      <c r="I48" s="29" t="s">
        <v>171</v>
      </c>
      <c r="J48" s="22" t="str">
        <f t="shared" si="0"/>
        <v>000</v>
      </c>
      <c r="K48" s="28"/>
      <c r="L48" s="28"/>
      <c r="M48" s="37"/>
      <c r="N48" s="37"/>
    </row>
    <row r="49" spans="1:14">
      <c r="A49" s="26">
        <f t="shared" si="1"/>
        <v>40</v>
      </c>
      <c r="B49" s="27" t="s">
        <v>226</v>
      </c>
      <c r="C49" s="27" t="s">
        <v>96</v>
      </c>
      <c r="D49" s="27" t="s">
        <v>121</v>
      </c>
      <c r="E49" s="27" t="s">
        <v>163</v>
      </c>
      <c r="F49" s="27" t="s">
        <v>217</v>
      </c>
      <c r="G49" s="28">
        <f>IF($J49="000",_xlfn.XLOOKUP($D49,'WP5 Elec Plant 13-mo'!$A$10:$A$66,'WP5 Elec Plant 13-mo'!$D$10:$D$66,""),_xlfn.XLOOKUP($D49,'WP5 Elec Plant 13-mo'!$A$10:$A$66,'WP5 Elec Plant 13-mo'!$E$10:$E$66,""))</f>
        <v>118982793.64</v>
      </c>
      <c r="H49" s="29">
        <f>IF($J49="000",_xlfn.XLOOKUP($D49,'WP5 Elec Plant 13-mo'!$A$10:$A$66,'WP5 Elec Plant 13-mo'!$AN$10:$AN$66,""),_xlfn.XLOOKUP($D49,'WP5 Elec Plant 13-mo'!$A$10:$A$66,'WP5 Elec Plant 13-mo'!$AO$10:$AO$66,""))</f>
        <v>119685281.43000001</v>
      </c>
      <c r="I49" s="29" t="s">
        <v>171</v>
      </c>
      <c r="J49" s="22" t="str">
        <f t="shared" si="0"/>
        <v>000</v>
      </c>
      <c r="K49" s="28"/>
      <c r="L49" s="28"/>
      <c r="M49" s="37"/>
      <c r="N49" s="37"/>
    </row>
    <row r="50" spans="1:14">
      <c r="A50" s="26">
        <f t="shared" si="1"/>
        <v>41</v>
      </c>
      <c r="B50" s="27" t="s">
        <v>227</v>
      </c>
      <c r="C50" s="27" t="s">
        <v>228</v>
      </c>
      <c r="D50" s="27" t="s">
        <v>122</v>
      </c>
      <c r="E50" s="27" t="s">
        <v>163</v>
      </c>
      <c r="F50" s="27" t="s">
        <v>217</v>
      </c>
      <c r="G50" s="28">
        <f>IF($J50="000",_xlfn.XLOOKUP($D50,'WP5 Elec Plant 13-mo'!$A$10:$A$66,'WP5 Elec Plant 13-mo'!$D$10:$D$66,""),_xlfn.XLOOKUP($D50,'WP5 Elec Plant 13-mo'!$A$10:$A$66,'WP5 Elec Plant 13-mo'!$E$10:$E$66,""))</f>
        <v>89598556.519999981</v>
      </c>
      <c r="H50" s="29">
        <f>IF($J50="000",_xlfn.XLOOKUP($D50,'WP5 Elec Plant 13-mo'!$A$10:$A$66,'WP5 Elec Plant 13-mo'!$AN$10:$AN$66,""),_xlfn.XLOOKUP($D50,'WP5 Elec Plant 13-mo'!$A$10:$A$66,'WP5 Elec Plant 13-mo'!$AO$10:$AO$66,""))</f>
        <v>92634535.709999979</v>
      </c>
      <c r="I50" s="29" t="s">
        <v>171</v>
      </c>
      <c r="J50" s="22" t="str">
        <f t="shared" si="0"/>
        <v>000</v>
      </c>
      <c r="K50" s="28"/>
      <c r="L50" s="28"/>
      <c r="M50" s="37"/>
      <c r="N50" s="37"/>
    </row>
    <row r="51" spans="1:14">
      <c r="A51" s="26">
        <f t="shared" si="1"/>
        <v>42</v>
      </c>
      <c r="B51" s="27" t="s">
        <v>229</v>
      </c>
      <c r="C51" s="27" t="s">
        <v>99</v>
      </c>
      <c r="D51" s="27" t="s">
        <v>123</v>
      </c>
      <c r="E51" s="27" t="s">
        <v>163</v>
      </c>
      <c r="F51" s="27" t="s">
        <v>217</v>
      </c>
      <c r="G51" s="28">
        <f>IF($J51="000",_xlfn.XLOOKUP($D51,'WP5 Elec Plant 13-mo'!$A$10:$A$66,'WP5 Elec Plant 13-mo'!$D$10:$D$66,""),_xlfn.XLOOKUP($D51,'WP5 Elec Plant 13-mo'!$A$10:$A$66,'WP5 Elec Plant 13-mo'!$E$10:$E$66,""))</f>
        <v>86762168.370000005</v>
      </c>
      <c r="H51" s="29">
        <f>IF($J51="000",_xlfn.XLOOKUP($D51,'WP5 Elec Plant 13-mo'!$A$10:$A$66,'WP5 Elec Plant 13-mo'!$AN$10:$AN$66,""),_xlfn.XLOOKUP($D51,'WP5 Elec Plant 13-mo'!$A$10:$A$66,'WP5 Elec Plant 13-mo'!$AO$10:$AO$66,""))</f>
        <v>88148768.24000001</v>
      </c>
      <c r="I51" s="29" t="s">
        <v>171</v>
      </c>
      <c r="J51" s="22" t="str">
        <f t="shared" si="0"/>
        <v>000</v>
      </c>
      <c r="K51" s="28"/>
      <c r="L51" s="28"/>
      <c r="M51" s="37"/>
      <c r="N51" s="37"/>
    </row>
    <row r="52" spans="1:14">
      <c r="A52" s="26">
        <f t="shared" si="1"/>
        <v>43</v>
      </c>
      <c r="B52" s="27" t="s">
        <v>230</v>
      </c>
      <c r="C52" s="27" t="s">
        <v>231</v>
      </c>
      <c r="D52" s="27" t="s">
        <v>124</v>
      </c>
      <c r="E52" s="27" t="s">
        <v>163</v>
      </c>
      <c r="F52" s="27" t="s">
        <v>217</v>
      </c>
      <c r="G52" s="28">
        <f>IF($J52="000",_xlfn.XLOOKUP($D52,'WP5 Elec Plant 13-mo'!$A$10:$A$66,'WP5 Elec Plant 13-mo'!$D$10:$D$66,""),_xlfn.XLOOKUP($D52,'WP5 Elec Plant 13-mo'!$A$10:$A$66,'WP5 Elec Plant 13-mo'!$E$10:$E$66,""))</f>
        <v>489091.36</v>
      </c>
      <c r="H52" s="29">
        <f>IF($J52="000",_xlfn.XLOOKUP($D52,'WP5 Elec Plant 13-mo'!$A$10:$A$66,'WP5 Elec Plant 13-mo'!$AN$10:$AN$66,""),_xlfn.XLOOKUP($D52,'WP5 Elec Plant 13-mo'!$A$10:$A$66,'WP5 Elec Plant 13-mo'!$AO$10:$AO$66,""))</f>
        <v>489091.36</v>
      </c>
      <c r="I52" s="29" t="s">
        <v>171</v>
      </c>
      <c r="J52" s="22" t="str">
        <f t="shared" si="0"/>
        <v>000</v>
      </c>
      <c r="K52" s="28"/>
      <c r="L52" s="28"/>
      <c r="M52" s="37"/>
      <c r="N52" s="37"/>
    </row>
    <row r="53" spans="1:14">
      <c r="A53" s="26">
        <f t="shared" si="1"/>
        <v>44</v>
      </c>
      <c r="B53" s="27" t="s">
        <v>232</v>
      </c>
      <c r="C53" s="27" t="s">
        <v>233</v>
      </c>
      <c r="D53" s="27" t="s">
        <v>125</v>
      </c>
      <c r="E53" s="27" t="s">
        <v>163</v>
      </c>
      <c r="F53" s="27" t="s">
        <v>217</v>
      </c>
      <c r="G53" s="28">
        <f>IF($J53="000",_xlfn.XLOOKUP($D53,'WP5 Elec Plant 13-mo'!$A$10:$A$66,'WP5 Elec Plant 13-mo'!$D$10:$D$66,""),_xlfn.XLOOKUP($D53,'WP5 Elec Plant 13-mo'!$A$10:$A$66,'WP5 Elec Plant 13-mo'!$E$10:$E$66,""))</f>
        <v>10961083.719999999</v>
      </c>
      <c r="H53" s="29">
        <f>IF($J53="000",_xlfn.XLOOKUP($D53,'WP5 Elec Plant 13-mo'!$A$10:$A$66,'WP5 Elec Plant 13-mo'!$AN$10:$AN$66,""),_xlfn.XLOOKUP($D53,'WP5 Elec Plant 13-mo'!$A$10:$A$66,'WP5 Elec Plant 13-mo'!$AO$10:$AO$66,""))</f>
        <v>11254497.169999998</v>
      </c>
      <c r="I53" s="29" t="s">
        <v>171</v>
      </c>
      <c r="J53" s="22" t="str">
        <f t="shared" si="0"/>
        <v>000</v>
      </c>
      <c r="K53" s="28"/>
      <c r="L53" s="28"/>
      <c r="M53" s="37"/>
      <c r="N53" s="37"/>
    </row>
    <row r="54" spans="1:14">
      <c r="A54" s="26">
        <f t="shared" si="1"/>
        <v>45</v>
      </c>
      <c r="B54" s="27" t="s">
        <v>234</v>
      </c>
      <c r="C54" s="27" t="s">
        <v>235</v>
      </c>
      <c r="D54" s="27" t="s">
        <v>126</v>
      </c>
      <c r="E54" s="27" t="s">
        <v>163</v>
      </c>
      <c r="F54" s="27" t="s">
        <v>105</v>
      </c>
      <c r="G54" s="28">
        <f>IF($J54="000",_xlfn.XLOOKUP($D54,'WP5 Elec Plant 13-mo'!$A$10:$A$66,'WP5 Elec Plant 13-mo'!$D$10:$D$66,""),_xlfn.XLOOKUP($D54,'WP5 Elec Plant 13-mo'!$A$10:$A$66,'WP5 Elec Plant 13-mo'!$E$10:$E$66,""))</f>
        <v>10109182.699999999</v>
      </c>
      <c r="H54" s="29">
        <f>IF($J54="000",_xlfn.XLOOKUP($D54,'WP5 Elec Plant 13-mo'!$A$10:$A$66,'WP5 Elec Plant 13-mo'!$AN$10:$AN$66,""),_xlfn.XLOOKUP($D54,'WP5 Elec Plant 13-mo'!$A$10:$A$66,'WP5 Elec Plant 13-mo'!$AO$10:$AO$66,""))</f>
        <v>21064369.370000001</v>
      </c>
      <c r="I54" s="29" t="s">
        <v>235</v>
      </c>
      <c r="J54" s="22" t="str">
        <f t="shared" si="0"/>
        <v>000</v>
      </c>
      <c r="K54" s="28"/>
      <c r="L54" s="28"/>
      <c r="M54" s="37"/>
      <c r="N54" s="37"/>
    </row>
    <row r="55" spans="1:14">
      <c r="A55" s="26">
        <f t="shared" si="1"/>
        <v>46</v>
      </c>
      <c r="B55" s="27" t="s">
        <v>236</v>
      </c>
      <c r="C55" s="27" t="s">
        <v>84</v>
      </c>
      <c r="D55" s="27" t="s">
        <v>127</v>
      </c>
      <c r="E55" s="27" t="s">
        <v>163</v>
      </c>
      <c r="F55" s="27" t="s">
        <v>105</v>
      </c>
      <c r="G55" s="28">
        <f>IF($J55="000",_xlfn.XLOOKUP($D55,'WP5 Elec Plant 13-mo'!$A$10:$A$66,'WP5 Elec Plant 13-mo'!$D$10:$D$66,""),_xlfn.XLOOKUP($D55,'WP5 Elec Plant 13-mo'!$A$10:$A$66,'WP5 Elec Plant 13-mo'!$E$10:$E$66,""))</f>
        <v>2979259.8800000004</v>
      </c>
      <c r="H55" s="29">
        <f>IF($J55="000",_xlfn.XLOOKUP($D55,'WP5 Elec Plant 13-mo'!$A$10:$A$66,'WP5 Elec Plant 13-mo'!$AN$10:$AN$66,""),_xlfn.XLOOKUP($D55,'WP5 Elec Plant 13-mo'!$A$10:$A$66,'WP5 Elec Plant 13-mo'!$AO$10:$AO$66,""))</f>
        <v>2979259.8800000004</v>
      </c>
      <c r="I55" s="29" t="s">
        <v>168</v>
      </c>
      <c r="J55" s="22" t="str">
        <f t="shared" si="0"/>
        <v>000</v>
      </c>
      <c r="K55" s="28"/>
      <c r="L55" s="28"/>
      <c r="M55" s="37"/>
      <c r="N55" s="37"/>
    </row>
    <row r="56" spans="1:14">
      <c r="A56" s="26">
        <f t="shared" si="1"/>
        <v>47</v>
      </c>
      <c r="B56" s="27" t="s">
        <v>237</v>
      </c>
      <c r="C56" s="27" t="s">
        <v>238</v>
      </c>
      <c r="D56" s="27" t="s">
        <v>128</v>
      </c>
      <c r="E56" s="27" t="s">
        <v>163</v>
      </c>
      <c r="F56" s="27" t="s">
        <v>105</v>
      </c>
      <c r="G56" s="28">
        <f>IF($J56="000",_xlfn.XLOOKUP($D56,'WP5 Elec Plant 13-mo'!$A$10:$A$66,'WP5 Elec Plant 13-mo'!$D$10:$D$66,""),_xlfn.XLOOKUP($D56,'WP5 Elec Plant 13-mo'!$A$10:$A$66,'WP5 Elec Plant 13-mo'!$E$10:$E$66,""))</f>
        <v>41126171.729999997</v>
      </c>
      <c r="H56" s="29">
        <f>IF($J56="000",_xlfn.XLOOKUP($D56,'WP5 Elec Plant 13-mo'!$A$10:$A$66,'WP5 Elec Plant 13-mo'!$AN$10:$AN$66,""),_xlfn.XLOOKUP($D56,'WP5 Elec Plant 13-mo'!$A$10:$A$66,'WP5 Elec Plant 13-mo'!$AO$10:$AO$66,""))</f>
        <v>111337498.86000001</v>
      </c>
      <c r="I56" s="29" t="s">
        <v>171</v>
      </c>
      <c r="J56" s="22" t="str">
        <f t="shared" si="0"/>
        <v>000</v>
      </c>
      <c r="K56" s="28"/>
      <c r="L56" s="28"/>
      <c r="M56" s="37"/>
      <c r="N56" s="37"/>
    </row>
    <row r="57" spans="1:14">
      <c r="A57" s="26">
        <f t="shared" si="1"/>
        <v>48</v>
      </c>
      <c r="B57" s="27" t="s">
        <v>239</v>
      </c>
      <c r="C57" s="27" t="s">
        <v>240</v>
      </c>
      <c r="D57" s="27" t="s">
        <v>129</v>
      </c>
      <c r="E57" s="27" t="s">
        <v>163</v>
      </c>
      <c r="F57" s="27" t="s">
        <v>105</v>
      </c>
      <c r="G57" s="28">
        <f>IF($J57="000",_xlfn.XLOOKUP($D57,'WP5 Elec Plant 13-mo'!$A$10:$A$66,'WP5 Elec Plant 13-mo'!$D$10:$D$66,""),_xlfn.XLOOKUP($D57,'WP5 Elec Plant 13-mo'!$A$10:$A$66,'WP5 Elec Plant 13-mo'!$E$10:$E$66,""))</f>
        <v>4361861.45</v>
      </c>
      <c r="H57" s="29">
        <f>IF($J57="000",_xlfn.XLOOKUP($D57,'WP5 Elec Plant 13-mo'!$A$10:$A$66,'WP5 Elec Plant 13-mo'!$AN$10:$AN$66,""),_xlfn.XLOOKUP($D57,'WP5 Elec Plant 13-mo'!$A$10:$A$66,'WP5 Elec Plant 13-mo'!$AO$10:$AO$66,""))</f>
        <v>4361861.45</v>
      </c>
      <c r="I57" s="29" t="s">
        <v>171</v>
      </c>
      <c r="J57" s="22" t="str">
        <f t="shared" si="0"/>
        <v>000</v>
      </c>
      <c r="K57" s="28"/>
      <c r="L57" s="28"/>
      <c r="M57" s="37"/>
      <c r="N57" s="37"/>
    </row>
    <row r="58" spans="1:14">
      <c r="A58" s="26">
        <f t="shared" si="1"/>
        <v>49</v>
      </c>
      <c r="B58" s="27" t="s">
        <v>241</v>
      </c>
      <c r="C58" s="27" t="s">
        <v>242</v>
      </c>
      <c r="D58" s="27" t="s">
        <v>130</v>
      </c>
      <c r="E58" s="27" t="s">
        <v>163</v>
      </c>
      <c r="F58" s="27" t="s">
        <v>105</v>
      </c>
      <c r="G58" s="28">
        <f>IF($J58="000",_xlfn.XLOOKUP($D58,'WP5 Elec Plant 13-mo'!$A$10:$A$66,'WP5 Elec Plant 13-mo'!$D$10:$D$66,""),_xlfn.XLOOKUP($D58,'WP5 Elec Plant 13-mo'!$A$10:$A$66,'WP5 Elec Plant 13-mo'!$E$10:$E$66,""))</f>
        <v>38938935.25</v>
      </c>
      <c r="H58" s="29">
        <f>IF($J58="000",_xlfn.XLOOKUP($D58,'WP5 Elec Plant 13-mo'!$A$10:$A$66,'WP5 Elec Plant 13-mo'!$AN$10:$AN$66,""),_xlfn.XLOOKUP($D58,'WP5 Elec Plant 13-mo'!$A$10:$A$66,'WP5 Elec Plant 13-mo'!$AO$10:$AO$66,""))</f>
        <v>41837043.109999999</v>
      </c>
      <c r="I58" s="29" t="s">
        <v>171</v>
      </c>
      <c r="J58" s="22" t="str">
        <f t="shared" si="0"/>
        <v>000</v>
      </c>
      <c r="K58" s="28"/>
      <c r="L58" s="28"/>
      <c r="M58" s="37"/>
      <c r="N58" s="37"/>
    </row>
    <row r="59" spans="1:14">
      <c r="A59" s="26">
        <f t="shared" si="1"/>
        <v>50</v>
      </c>
      <c r="B59" s="27" t="s">
        <v>243</v>
      </c>
      <c r="C59" s="27" t="s">
        <v>244</v>
      </c>
      <c r="D59" s="27" t="s">
        <v>131</v>
      </c>
      <c r="E59" s="27" t="s">
        <v>163</v>
      </c>
      <c r="F59" s="27" t="s">
        <v>105</v>
      </c>
      <c r="G59" s="28">
        <f>IF($J59="000",_xlfn.XLOOKUP($D59,'WP5 Elec Plant 13-mo'!$A$10:$A$66,'WP5 Elec Plant 13-mo'!$D$10:$D$66,""),_xlfn.XLOOKUP($D59,'WP5 Elec Plant 13-mo'!$A$10:$A$66,'WP5 Elec Plant 13-mo'!$E$10:$E$66,""))</f>
        <v>324648.67</v>
      </c>
      <c r="H59" s="29">
        <f>IF($J59="000",_xlfn.XLOOKUP($D59,'WP5 Elec Plant 13-mo'!$A$10:$A$66,'WP5 Elec Plant 13-mo'!$AN$10:$AN$66,""),_xlfn.XLOOKUP($D59,'WP5 Elec Plant 13-mo'!$A$10:$A$66,'WP5 Elec Plant 13-mo'!$AO$10:$AO$66,""))</f>
        <v>324648.67</v>
      </c>
      <c r="I59" s="29" t="s">
        <v>171</v>
      </c>
      <c r="J59" s="22" t="str">
        <f t="shared" si="0"/>
        <v>000</v>
      </c>
      <c r="K59" s="28"/>
      <c r="L59" s="28"/>
      <c r="M59" s="37"/>
      <c r="N59" s="37"/>
    </row>
    <row r="60" spans="1:14">
      <c r="A60" s="26">
        <f t="shared" si="1"/>
        <v>51</v>
      </c>
      <c r="B60" s="27" t="s">
        <v>245</v>
      </c>
      <c r="C60" s="27" t="s">
        <v>246</v>
      </c>
      <c r="D60" s="27" t="s">
        <v>132</v>
      </c>
      <c r="E60" s="27" t="s">
        <v>163</v>
      </c>
      <c r="F60" s="27" t="s">
        <v>105</v>
      </c>
      <c r="G60" s="28">
        <f>IF($J60="000",_xlfn.XLOOKUP($D60,'WP5 Elec Plant 13-mo'!$A$10:$A$66,'WP5 Elec Plant 13-mo'!$D$10:$D$66,""),_xlfn.XLOOKUP($D60,'WP5 Elec Plant 13-mo'!$A$10:$A$66,'WP5 Elec Plant 13-mo'!$E$10:$E$66,""))</f>
        <v>10570746.01</v>
      </c>
      <c r="H60" s="29">
        <f>IF($J60="000",_xlfn.XLOOKUP($D60,'WP5 Elec Plant 13-mo'!$A$10:$A$66,'WP5 Elec Plant 13-mo'!$AN$10:$AN$66,""),_xlfn.XLOOKUP($D60,'WP5 Elec Plant 13-mo'!$A$10:$A$66,'WP5 Elec Plant 13-mo'!$AO$10:$AO$66,""))</f>
        <v>10551092.199999999</v>
      </c>
      <c r="I60" s="29" t="s">
        <v>171</v>
      </c>
      <c r="J60" s="22" t="str">
        <f t="shared" si="0"/>
        <v>000</v>
      </c>
      <c r="K60" s="28"/>
      <c r="L60" s="28"/>
      <c r="M60" s="37"/>
      <c r="N60" s="37"/>
    </row>
    <row r="61" spans="1:14">
      <c r="A61" s="26">
        <f t="shared" si="1"/>
        <v>52</v>
      </c>
      <c r="B61" s="27" t="s">
        <v>247</v>
      </c>
      <c r="C61" s="27" t="s">
        <v>248</v>
      </c>
      <c r="D61" s="27" t="s">
        <v>133</v>
      </c>
      <c r="E61" s="27" t="s">
        <v>163</v>
      </c>
      <c r="F61" s="27" t="s">
        <v>105</v>
      </c>
      <c r="G61" s="28">
        <f>IF($J61="000",_xlfn.XLOOKUP($D61,'WP5 Elec Plant 13-mo'!$A$10:$A$66,'WP5 Elec Plant 13-mo'!$D$10:$D$66,""),_xlfn.XLOOKUP($D61,'WP5 Elec Plant 13-mo'!$A$10:$A$66,'WP5 Elec Plant 13-mo'!$E$10:$E$66,""))</f>
        <v>1074434.21</v>
      </c>
      <c r="H61" s="29">
        <f>IF($J61="000",_xlfn.XLOOKUP($D61,'WP5 Elec Plant 13-mo'!$A$10:$A$66,'WP5 Elec Plant 13-mo'!$AN$10:$AN$66,""),_xlfn.XLOOKUP($D61,'WP5 Elec Plant 13-mo'!$A$10:$A$66,'WP5 Elec Plant 13-mo'!$AO$10:$AO$66,""))</f>
        <v>1074434.21</v>
      </c>
      <c r="I61" s="29" t="s">
        <v>171</v>
      </c>
      <c r="J61" s="22" t="str">
        <f t="shared" si="0"/>
        <v>000</v>
      </c>
      <c r="K61" s="28"/>
      <c r="L61" s="28"/>
      <c r="M61" s="37"/>
      <c r="N61" s="37"/>
    </row>
    <row r="62" spans="1:14">
      <c r="A62" s="26">
        <f t="shared" si="1"/>
        <v>53</v>
      </c>
      <c r="B62" s="27" t="s">
        <v>249</v>
      </c>
      <c r="C62" s="27" t="s">
        <v>250</v>
      </c>
      <c r="D62" s="27" t="s">
        <v>134</v>
      </c>
      <c r="E62" s="27" t="s">
        <v>163</v>
      </c>
      <c r="F62" s="27" t="s">
        <v>105</v>
      </c>
      <c r="G62" s="28">
        <f>IF($J62="000",_xlfn.XLOOKUP($D62,'WP5 Elec Plant 13-mo'!$A$10:$A$66,'WP5 Elec Plant 13-mo'!$D$10:$D$66,""),_xlfn.XLOOKUP($D62,'WP5 Elec Plant 13-mo'!$A$10:$A$66,'WP5 Elec Plant 13-mo'!$E$10:$E$66,""))</f>
        <v>12208292.209999997</v>
      </c>
      <c r="H62" s="29">
        <f>IF($J62="000",_xlfn.XLOOKUP($D62,'WP5 Elec Plant 13-mo'!$A$10:$A$66,'WP5 Elec Plant 13-mo'!$AN$10:$AN$66,""),_xlfn.XLOOKUP($D62,'WP5 Elec Plant 13-mo'!$A$10:$A$66,'WP5 Elec Plant 13-mo'!$AO$10:$AO$66,""))</f>
        <v>11688897.739999998</v>
      </c>
      <c r="I62" s="29" t="s">
        <v>171</v>
      </c>
      <c r="J62" s="22" t="str">
        <f t="shared" si="0"/>
        <v>000</v>
      </c>
      <c r="K62" s="28"/>
      <c r="L62" s="28"/>
      <c r="M62" s="37"/>
      <c r="N62" s="37"/>
    </row>
    <row r="63" spans="1:14">
      <c r="A63" s="26">
        <f t="shared" si="1"/>
        <v>54</v>
      </c>
      <c r="B63" s="27" t="s">
        <v>251</v>
      </c>
      <c r="C63" s="27" t="s">
        <v>252</v>
      </c>
      <c r="D63" s="27" t="s">
        <v>135</v>
      </c>
      <c r="E63" s="27" t="s">
        <v>163</v>
      </c>
      <c r="F63" s="27" t="s">
        <v>105</v>
      </c>
      <c r="G63" s="28">
        <f>IF($J63="000",_xlfn.XLOOKUP($D63,'WP5 Elec Plant 13-mo'!$A$10:$A$66,'WP5 Elec Plant 13-mo'!$D$10:$D$66,""),_xlfn.XLOOKUP($D63,'WP5 Elec Plant 13-mo'!$A$10:$A$66,'WP5 Elec Plant 13-mo'!$E$10:$E$66,""))</f>
        <v>62731457.059999995</v>
      </c>
      <c r="H63" s="29">
        <f>IF($J63="000",_xlfn.XLOOKUP($D63,'WP5 Elec Plant 13-mo'!$A$10:$A$66,'WP5 Elec Plant 13-mo'!$AN$10:$AN$66,""),_xlfn.XLOOKUP($D63,'WP5 Elec Plant 13-mo'!$A$10:$A$66,'WP5 Elec Plant 13-mo'!$AO$10:$AO$66,""))</f>
        <v>75274073.289999992</v>
      </c>
      <c r="I63" s="29" t="s">
        <v>171</v>
      </c>
      <c r="J63" s="22" t="str">
        <f t="shared" si="0"/>
        <v>000</v>
      </c>
      <c r="K63" s="28"/>
      <c r="L63" s="28"/>
      <c r="M63" s="37"/>
      <c r="N63" s="37"/>
    </row>
    <row r="64" spans="1:14">
      <c r="A64" s="26">
        <f t="shared" si="1"/>
        <v>55</v>
      </c>
      <c r="B64" s="27" t="s">
        <v>253</v>
      </c>
      <c r="C64" s="27" t="s">
        <v>254</v>
      </c>
      <c r="D64" s="27" t="s">
        <v>136</v>
      </c>
      <c r="E64" s="27" t="s">
        <v>163</v>
      </c>
      <c r="F64" s="27" t="s">
        <v>105</v>
      </c>
      <c r="G64" s="28">
        <f>IF($J64="000",_xlfn.XLOOKUP($D64,'WP5 Elec Plant 13-mo'!$A$10:$A$66,'WP5 Elec Plant 13-mo'!$D$10:$D$66,""),_xlfn.XLOOKUP($D64,'WP5 Elec Plant 13-mo'!$A$10:$A$66,'WP5 Elec Plant 13-mo'!$E$10:$E$66,""))</f>
        <v>681053.33000000007</v>
      </c>
      <c r="H64" s="29">
        <f>IF($J64="000",_xlfn.XLOOKUP($D64,'WP5 Elec Plant 13-mo'!$A$10:$A$66,'WP5 Elec Plant 13-mo'!$AN$10:$AN$66,""),_xlfn.XLOOKUP($D64,'WP5 Elec Plant 13-mo'!$A$10:$A$66,'WP5 Elec Plant 13-mo'!$AO$10:$AO$66,""))</f>
        <v>681053.33000000007</v>
      </c>
      <c r="I64" s="29" t="s">
        <v>171</v>
      </c>
      <c r="J64" s="22" t="str">
        <f t="shared" si="0"/>
        <v>000</v>
      </c>
      <c r="K64" s="28"/>
      <c r="L64" s="28"/>
      <c r="M64" s="37"/>
      <c r="N64" s="37"/>
    </row>
    <row r="65" spans="1:14">
      <c r="A65" s="26">
        <f t="shared" si="1"/>
        <v>56</v>
      </c>
      <c r="B65" s="27" t="s">
        <v>255</v>
      </c>
      <c r="C65" s="27" t="s">
        <v>256</v>
      </c>
      <c r="D65" s="27" t="s">
        <v>137</v>
      </c>
      <c r="E65" s="27" t="s">
        <v>163</v>
      </c>
      <c r="F65" s="27" t="s">
        <v>105</v>
      </c>
      <c r="G65" s="28">
        <f>IF($J65="000",_xlfn.XLOOKUP($D65,'WP5 Elec Plant 13-mo'!$A$10:$A$66,'WP5 Elec Plant 13-mo'!$D$10:$D$66,""),_xlfn.XLOOKUP($D65,'WP5 Elec Plant 13-mo'!$A$10:$A$66,'WP5 Elec Plant 13-mo'!$E$10:$E$66,""))</f>
        <v>18398999.690000001</v>
      </c>
      <c r="H65" s="33">
        <f>IF($J65="000",_xlfn.XLOOKUP($D65,'WP5 Elec Plant 13-mo'!$A$10:$A$66,'WP5 Elec Plant 13-mo'!$AN$10:$AN$66,""),_xlfn.XLOOKUP($D65,'WP5 Elec Plant 13-mo'!$A$10:$A$66,'WP5 Elec Plant 13-mo'!$AO$10:$AO$66,""))</f>
        <v>18398999.690000001</v>
      </c>
      <c r="I65" s="33" t="s">
        <v>171</v>
      </c>
      <c r="J65" s="22" t="str">
        <f t="shared" si="0"/>
        <v>000</v>
      </c>
      <c r="K65" s="28"/>
      <c r="L65" s="28"/>
      <c r="M65" s="37"/>
      <c r="N65" s="37"/>
    </row>
    <row r="66" spans="1:14">
      <c r="A66" s="34">
        <f t="shared" si="1"/>
        <v>57</v>
      </c>
      <c r="B66" s="35" t="s">
        <v>313</v>
      </c>
      <c r="C66" s="35" t="s">
        <v>314</v>
      </c>
      <c r="D66" s="35" t="s">
        <v>315</v>
      </c>
      <c r="E66" s="35" t="s">
        <v>163</v>
      </c>
      <c r="F66" s="35" t="s">
        <v>217</v>
      </c>
      <c r="G66" s="36">
        <f>IF($J66="000",_xlfn.XLOOKUP($D66,'WP5 Elec Plant 13-mo'!$A$10:$A$66,'WP5 Elec Plant 13-mo'!$D$10:$D$66,""),_xlfn.XLOOKUP($D66,'WP5 Elec Plant 13-mo'!$A$10:$A$66,'WP5 Elec Plant 13-mo'!$E$10:$E$66,""))</f>
        <v>56951291.870000005</v>
      </c>
      <c r="H66" s="36">
        <f>IF($J66="000",_xlfn.XLOOKUP($D66,'WP5 Elec Plant 13-mo'!$A$10:$A$66,'WP5 Elec Plant 13-mo'!$AN$10:$AN$66,""),_xlfn.XLOOKUP($D66,'WP5 Elec Plant 13-mo'!$A$10:$A$66,'WP5 Elec Plant 13-mo'!$AO$10:$AO$66,""))</f>
        <v>59713079.900000006</v>
      </c>
      <c r="I66" s="35"/>
      <c r="J66" s="35" t="str">
        <f>MID(B66,4,3)</f>
        <v>000</v>
      </c>
      <c r="K66" s="28"/>
      <c r="L66" s="28"/>
      <c r="M66" s="37"/>
      <c r="N66" s="37"/>
    </row>
    <row r="67" spans="1:14">
      <c r="A67" s="26">
        <f t="shared" si="1"/>
        <v>58</v>
      </c>
      <c r="B67" s="27" t="s">
        <v>257</v>
      </c>
      <c r="C67" s="27" t="s">
        <v>162</v>
      </c>
      <c r="D67" s="27" t="s">
        <v>153</v>
      </c>
      <c r="E67" s="27" t="s">
        <v>163</v>
      </c>
      <c r="F67" s="27" t="s">
        <v>73</v>
      </c>
      <c r="G67" s="28">
        <f>IF($J67="000",_xlfn.XLOOKUP($D67,'WP5 Elec Plant 13-mo'!$A$10:$A$66,'WP5 Elec Plant 13-mo'!$D$10:$D$66,""),_xlfn.XLOOKUP($D67,'WP5 Elec Plant 13-mo'!$A$10:$A$66,'WP5 Elec Plant 13-mo'!$E$10:$E$66,""))</f>
        <v>0</v>
      </c>
      <c r="H67" s="28">
        <f>IF($J67="000",_xlfn.XLOOKUP($D67,'WP5 Elec Plant 13-mo'!$A$10:$A$66,'WP5 Elec Plant 13-mo'!$AN$10:$AN$66,""),_xlfn.XLOOKUP($D67,'WP5 Elec Plant 13-mo'!$A$10:$A$66,'WP5 Elec Plant 13-mo'!$AO$10:$AO$66,""))</f>
        <v>0</v>
      </c>
      <c r="I67" s="29" t="s">
        <v>164</v>
      </c>
      <c r="J67" s="22" t="str">
        <f t="shared" si="0"/>
        <v>080</v>
      </c>
      <c r="K67" s="28"/>
      <c r="L67" s="28"/>
      <c r="M67" s="37"/>
      <c r="N67" s="37"/>
    </row>
    <row r="68" spans="1:14">
      <c r="A68" s="26">
        <f t="shared" si="1"/>
        <v>59</v>
      </c>
      <c r="B68" s="27" t="s">
        <v>258</v>
      </c>
      <c r="C68" s="27" t="s">
        <v>166</v>
      </c>
      <c r="D68" s="27" t="s">
        <v>72</v>
      </c>
      <c r="E68" s="27" t="s">
        <v>163</v>
      </c>
      <c r="F68" s="27" t="s">
        <v>167</v>
      </c>
      <c r="G68" s="28">
        <f>IF($J68="000",_xlfn.XLOOKUP($D68,'WP5 Elec Plant 13-mo'!$A$10:$A$66,'WP5 Elec Plant 13-mo'!$D$10:$D$66,""),_xlfn.XLOOKUP($D68,'WP5 Elec Plant 13-mo'!$A$10:$A$66,'WP5 Elec Plant 13-mo'!$E$10:$E$66,""))</f>
        <v>0</v>
      </c>
      <c r="H68" s="29">
        <f>IF($J68="000",_xlfn.XLOOKUP($D68,'WP5 Elec Plant 13-mo'!$A$10:$A$66,'WP5 Elec Plant 13-mo'!$AN$10:$AN$66,""),_xlfn.XLOOKUP($D68,'WP5 Elec Plant 13-mo'!$A$10:$A$66,'WP5 Elec Plant 13-mo'!$AO$10:$AO$66,""))</f>
        <v>0</v>
      </c>
      <c r="I68" s="29" t="s">
        <v>168</v>
      </c>
      <c r="J68" s="22" t="str">
        <f t="shared" si="0"/>
        <v>080</v>
      </c>
      <c r="K68" s="28"/>
      <c r="L68" s="28"/>
      <c r="M68" s="37"/>
      <c r="N68" s="37"/>
    </row>
    <row r="69" spans="1:14">
      <c r="A69" s="26">
        <f t="shared" si="1"/>
        <v>60</v>
      </c>
      <c r="B69" s="27" t="s">
        <v>259</v>
      </c>
      <c r="C69" s="27" t="s">
        <v>170</v>
      </c>
      <c r="D69" s="27" t="s">
        <v>74</v>
      </c>
      <c r="E69" s="27" t="s">
        <v>163</v>
      </c>
      <c r="F69" s="27" t="s">
        <v>167</v>
      </c>
      <c r="G69" s="28">
        <f>IF($J69="000",_xlfn.XLOOKUP($D69,'WP5 Elec Plant 13-mo'!$A$10:$A$66,'WP5 Elec Plant 13-mo'!$D$10:$D$66,""),_xlfn.XLOOKUP($D69,'WP5 Elec Plant 13-mo'!$A$10:$A$66,'WP5 Elec Plant 13-mo'!$E$10:$E$66,""))</f>
        <v>-31885787.020000011</v>
      </c>
      <c r="H69" s="29">
        <f>IF($J69="000",_xlfn.XLOOKUP($D69,'WP5 Elec Plant 13-mo'!$A$10:$A$66,'WP5 Elec Plant 13-mo'!$AN$10:$AN$66,""),_xlfn.XLOOKUP($D69,'WP5 Elec Plant 13-mo'!$A$10:$A$66,'WP5 Elec Plant 13-mo'!$AO$10:$AO$66,""))</f>
        <v>-32191726.010000013</v>
      </c>
      <c r="I69" s="29" t="s">
        <v>171</v>
      </c>
      <c r="J69" s="22" t="str">
        <f t="shared" si="0"/>
        <v>080</v>
      </c>
      <c r="K69" s="28"/>
      <c r="L69" s="28"/>
      <c r="M69" s="37"/>
      <c r="N69" s="37"/>
    </row>
    <row r="70" spans="1:14">
      <c r="A70" s="26">
        <f t="shared" si="1"/>
        <v>61</v>
      </c>
      <c r="B70" s="27" t="s">
        <v>260</v>
      </c>
      <c r="C70" s="27" t="s">
        <v>173</v>
      </c>
      <c r="D70" s="27" t="s">
        <v>75</v>
      </c>
      <c r="E70" s="27" t="s">
        <v>163</v>
      </c>
      <c r="F70" s="27" t="s">
        <v>167</v>
      </c>
      <c r="G70" s="28">
        <f>IF($J70="000",_xlfn.XLOOKUP($D70,'WP5 Elec Plant 13-mo'!$A$10:$A$66,'WP5 Elec Plant 13-mo'!$D$10:$D$66,""),_xlfn.XLOOKUP($D70,'WP5 Elec Plant 13-mo'!$A$10:$A$66,'WP5 Elec Plant 13-mo'!$E$10:$E$66,""))</f>
        <v>-162794771.20000002</v>
      </c>
      <c r="H70" s="29">
        <f>IF($J70="000",_xlfn.XLOOKUP($D70,'WP5 Elec Plant 13-mo'!$A$10:$A$66,'WP5 Elec Plant 13-mo'!$AN$10:$AN$66,""),_xlfn.XLOOKUP($D70,'WP5 Elec Plant 13-mo'!$A$10:$A$66,'WP5 Elec Plant 13-mo'!$AO$10:$AO$66,""))</f>
        <v>-171719648.07999998</v>
      </c>
      <c r="I70" s="29" t="s">
        <v>171</v>
      </c>
      <c r="J70" s="22" t="str">
        <f t="shared" si="0"/>
        <v>080</v>
      </c>
      <c r="K70" s="28"/>
      <c r="L70" s="28"/>
      <c r="M70" s="37"/>
      <c r="N70" s="37"/>
    </row>
    <row r="71" spans="1:14">
      <c r="A71" s="26">
        <f t="shared" si="1"/>
        <v>62</v>
      </c>
      <c r="B71" s="27" t="s">
        <v>261</v>
      </c>
      <c r="C71" s="27" t="s">
        <v>175</v>
      </c>
      <c r="D71" s="27" t="s">
        <v>78</v>
      </c>
      <c r="E71" s="27" t="s">
        <v>163</v>
      </c>
      <c r="F71" s="27" t="s">
        <v>167</v>
      </c>
      <c r="G71" s="28">
        <f>IF($J71="000",_xlfn.XLOOKUP($D71,'WP5 Elec Plant 13-mo'!$A$10:$A$66,'WP5 Elec Plant 13-mo'!$D$10:$D$66,""),_xlfn.XLOOKUP($D71,'WP5 Elec Plant 13-mo'!$A$10:$A$66,'WP5 Elec Plant 13-mo'!$E$10:$E$66,""))</f>
        <v>-468534.73000000016</v>
      </c>
      <c r="H71" s="29">
        <f>IF($J71="000",_xlfn.XLOOKUP($D71,'WP5 Elec Plant 13-mo'!$A$10:$A$66,'WP5 Elec Plant 13-mo'!$AN$10:$AN$66,""),_xlfn.XLOOKUP($D71,'WP5 Elec Plant 13-mo'!$A$10:$A$66,'WP5 Elec Plant 13-mo'!$AO$10:$AO$66,""))</f>
        <v>-494167.86000000016</v>
      </c>
      <c r="I71" s="29" t="s">
        <v>171</v>
      </c>
      <c r="J71" s="22" t="str">
        <f t="shared" si="0"/>
        <v>080</v>
      </c>
      <c r="K71" s="28"/>
      <c r="L71" s="28"/>
      <c r="M71" s="37"/>
      <c r="N71" s="37"/>
    </row>
    <row r="72" spans="1:14">
      <c r="A72" s="26">
        <f t="shared" si="1"/>
        <v>63</v>
      </c>
      <c r="B72" s="27" t="s">
        <v>262</v>
      </c>
      <c r="C72" s="27" t="s">
        <v>177</v>
      </c>
      <c r="D72" s="27" t="s">
        <v>79</v>
      </c>
      <c r="E72" s="27" t="s">
        <v>163</v>
      </c>
      <c r="F72" s="27" t="s">
        <v>167</v>
      </c>
      <c r="G72" s="28">
        <f>IF($J72="000",_xlfn.XLOOKUP($D72,'WP5 Elec Plant 13-mo'!$A$10:$A$66,'WP5 Elec Plant 13-mo'!$D$10:$D$66,""),_xlfn.XLOOKUP($D72,'WP5 Elec Plant 13-mo'!$A$10:$A$66,'WP5 Elec Plant 13-mo'!$E$10:$E$66,""))</f>
        <v>-32253618.669999991</v>
      </c>
      <c r="H72" s="29">
        <f>IF($J72="000",_xlfn.XLOOKUP($D72,'WP5 Elec Plant 13-mo'!$A$10:$A$66,'WP5 Elec Plant 13-mo'!$AN$10:$AN$66,""),_xlfn.XLOOKUP($D72,'WP5 Elec Plant 13-mo'!$A$10:$A$66,'WP5 Elec Plant 13-mo'!$AO$10:$AO$66,""))</f>
        <v>-33132041.59999999</v>
      </c>
      <c r="I72" s="29" t="s">
        <v>171</v>
      </c>
      <c r="J72" s="22" t="str">
        <f t="shared" si="0"/>
        <v>080</v>
      </c>
      <c r="K72" s="28"/>
      <c r="L72" s="28"/>
      <c r="M72" s="37"/>
      <c r="N72" s="37"/>
    </row>
    <row r="73" spans="1:14">
      <c r="A73" s="26">
        <f t="shared" si="1"/>
        <v>64</v>
      </c>
      <c r="B73" s="27" t="s">
        <v>263</v>
      </c>
      <c r="C73" s="27" t="s">
        <v>179</v>
      </c>
      <c r="D73" s="27" t="s">
        <v>81</v>
      </c>
      <c r="E73" s="27" t="s">
        <v>163</v>
      </c>
      <c r="F73" s="27" t="s">
        <v>167</v>
      </c>
      <c r="G73" s="28">
        <f>IF($J73="000",_xlfn.XLOOKUP($D73,'WP5 Elec Plant 13-mo'!$A$10:$A$66,'WP5 Elec Plant 13-mo'!$D$10:$D$66,""),_xlfn.XLOOKUP($D73,'WP5 Elec Plant 13-mo'!$A$10:$A$66,'WP5 Elec Plant 13-mo'!$E$10:$E$66,""))</f>
        <v>-23759086.710000001</v>
      </c>
      <c r="H73" s="29">
        <f>IF($J73="000",_xlfn.XLOOKUP($D73,'WP5 Elec Plant 13-mo'!$A$10:$A$66,'WP5 Elec Plant 13-mo'!$AN$10:$AN$66,""),_xlfn.XLOOKUP($D73,'WP5 Elec Plant 13-mo'!$A$10:$A$66,'WP5 Elec Plant 13-mo'!$AO$10:$AO$66,""))</f>
        <v>-23916171.470000003</v>
      </c>
      <c r="I73" s="29" t="s">
        <v>171</v>
      </c>
      <c r="J73" s="22" t="str">
        <f t="shared" si="0"/>
        <v>080</v>
      </c>
      <c r="K73" s="28"/>
      <c r="L73" s="28"/>
      <c r="M73" s="37"/>
      <c r="N73" s="37"/>
    </row>
    <row r="74" spans="1:14">
      <c r="A74" s="26">
        <f t="shared" si="1"/>
        <v>65</v>
      </c>
      <c r="B74" s="27" t="s">
        <v>264</v>
      </c>
      <c r="C74" s="27" t="s">
        <v>181</v>
      </c>
      <c r="D74" s="27" t="s">
        <v>82</v>
      </c>
      <c r="E74" s="27" t="s">
        <v>163</v>
      </c>
      <c r="F74" s="27" t="s">
        <v>167</v>
      </c>
      <c r="G74" s="28">
        <f>IF($J74="000",_xlfn.XLOOKUP($D74,'WP5 Elec Plant 13-mo'!$A$10:$A$66,'WP5 Elec Plant 13-mo'!$D$10:$D$66,""),_xlfn.XLOOKUP($D74,'WP5 Elec Plant 13-mo'!$A$10:$A$66,'WP5 Elec Plant 13-mo'!$E$10:$E$66,""))</f>
        <v>-7190564.46</v>
      </c>
      <c r="H74" s="29">
        <f>IF($J74="000",_xlfn.XLOOKUP($D74,'WP5 Elec Plant 13-mo'!$A$10:$A$66,'WP5 Elec Plant 13-mo'!$AN$10:$AN$66,""),_xlfn.XLOOKUP($D74,'WP5 Elec Plant 13-mo'!$A$10:$A$66,'WP5 Elec Plant 13-mo'!$AO$10:$AO$66,""))</f>
        <v>-7321447.7799999993</v>
      </c>
      <c r="I74" s="29" t="s">
        <v>171</v>
      </c>
      <c r="J74" s="22" t="str">
        <f t="shared" si="0"/>
        <v>080</v>
      </c>
      <c r="K74" s="28"/>
      <c r="L74" s="28"/>
      <c r="M74" s="37"/>
      <c r="N74" s="37"/>
    </row>
    <row r="75" spans="1:14">
      <c r="A75" s="26">
        <f t="shared" si="1"/>
        <v>66</v>
      </c>
      <c r="B75" s="27" t="s">
        <v>265</v>
      </c>
      <c r="C75" s="27" t="s">
        <v>166</v>
      </c>
      <c r="D75" s="27" t="s">
        <v>83</v>
      </c>
      <c r="E75" s="27" t="s">
        <v>163</v>
      </c>
      <c r="F75" s="27" t="s">
        <v>167</v>
      </c>
      <c r="G75" s="28">
        <f>IF($J75="000",_xlfn.XLOOKUP($D75,'WP5 Elec Plant 13-mo'!$A$10:$A$66,'WP5 Elec Plant 13-mo'!$D$10:$D$66,""),_xlfn.XLOOKUP($D75,'WP5 Elec Plant 13-mo'!$A$10:$A$66,'WP5 Elec Plant 13-mo'!$E$10:$E$66,""))</f>
        <v>0</v>
      </c>
      <c r="H75" s="29">
        <f>IF($J75="000",_xlfn.XLOOKUP($D75,'WP5 Elec Plant 13-mo'!$A$10:$A$66,'WP5 Elec Plant 13-mo'!$AN$10:$AN$66,""),_xlfn.XLOOKUP($D75,'WP5 Elec Plant 13-mo'!$A$10:$A$66,'WP5 Elec Plant 13-mo'!$AO$10:$AO$66,""))</f>
        <v>0</v>
      </c>
      <c r="I75" s="29" t="s">
        <v>168</v>
      </c>
      <c r="J75" s="22" t="str">
        <f t="shared" si="0"/>
        <v>080</v>
      </c>
      <c r="K75" s="28"/>
      <c r="L75" s="28"/>
      <c r="M75" s="37"/>
      <c r="N75" s="37"/>
    </row>
    <row r="76" spans="1:14">
      <c r="A76" s="26">
        <f t="shared" si="1"/>
        <v>67</v>
      </c>
      <c r="B76" s="27" t="s">
        <v>266</v>
      </c>
      <c r="C76" s="27" t="s">
        <v>170</v>
      </c>
      <c r="D76" s="27" t="s">
        <v>85</v>
      </c>
      <c r="E76" s="27" t="s">
        <v>163</v>
      </c>
      <c r="F76" s="27" t="s">
        <v>167</v>
      </c>
      <c r="G76" s="28">
        <f>IF($J76="000",_xlfn.XLOOKUP($D76,'WP5 Elec Plant 13-mo'!$A$10:$A$66,'WP5 Elec Plant 13-mo'!$D$10:$D$66,""),_xlfn.XLOOKUP($D76,'WP5 Elec Plant 13-mo'!$A$10:$A$66,'WP5 Elec Plant 13-mo'!$E$10:$E$66,""))</f>
        <v>-2940292.0100000007</v>
      </c>
      <c r="H76" s="29">
        <f>IF($J76="000",_xlfn.XLOOKUP($D76,'WP5 Elec Plant 13-mo'!$A$10:$A$66,'WP5 Elec Plant 13-mo'!$AN$10:$AN$66,""),_xlfn.XLOOKUP($D76,'WP5 Elec Plant 13-mo'!$A$10:$A$66,'WP5 Elec Plant 13-mo'!$AO$10:$AO$66,""))</f>
        <v>-3046362.790000001</v>
      </c>
      <c r="I76" s="29" t="s">
        <v>171</v>
      </c>
      <c r="J76" s="22" t="str">
        <f t="shared" ref="J76:J123" si="2">MID(B76,4,3)</f>
        <v>080</v>
      </c>
      <c r="K76" s="28"/>
      <c r="L76" s="28"/>
      <c r="M76" s="37"/>
      <c r="N76" s="37"/>
    </row>
    <row r="77" spans="1:14">
      <c r="A77" s="26">
        <f t="shared" ref="A77:A123" si="3">A76+1</f>
        <v>68</v>
      </c>
      <c r="B77" s="27" t="s">
        <v>267</v>
      </c>
      <c r="C77" s="27" t="s">
        <v>185</v>
      </c>
      <c r="D77" s="27" t="s">
        <v>86</v>
      </c>
      <c r="E77" s="27" t="s">
        <v>163</v>
      </c>
      <c r="F77" s="27" t="s">
        <v>167</v>
      </c>
      <c r="G77" s="28">
        <f>IF($J77="000",_xlfn.XLOOKUP($D77,'WP5 Elec Plant 13-mo'!$A$10:$A$66,'WP5 Elec Plant 13-mo'!$D$10:$D$66,""),_xlfn.XLOOKUP($D77,'WP5 Elec Plant 13-mo'!$A$10:$A$66,'WP5 Elec Plant 13-mo'!$E$10:$E$66,""))</f>
        <v>-7235055.5499999961</v>
      </c>
      <c r="H77" s="29">
        <f>IF($J77="000",_xlfn.XLOOKUP($D77,'WP5 Elec Plant 13-mo'!$A$10:$A$66,'WP5 Elec Plant 13-mo'!$AN$10:$AN$66,""),_xlfn.XLOOKUP($D77,'WP5 Elec Plant 13-mo'!$A$10:$A$66,'WP5 Elec Plant 13-mo'!$AO$10:$AO$66,""))</f>
        <v>-7474216.4399999958</v>
      </c>
      <c r="I77" s="29" t="s">
        <v>171</v>
      </c>
      <c r="J77" s="22" t="str">
        <f t="shared" si="2"/>
        <v>080</v>
      </c>
      <c r="K77" s="28"/>
      <c r="L77" s="28"/>
      <c r="M77" s="37"/>
      <c r="N77" s="37"/>
    </row>
    <row r="78" spans="1:14">
      <c r="A78" s="26">
        <f t="shared" si="3"/>
        <v>69</v>
      </c>
      <c r="B78" s="27" t="s">
        <v>268</v>
      </c>
      <c r="C78" s="27" t="s">
        <v>187</v>
      </c>
      <c r="D78" s="27" t="s">
        <v>88</v>
      </c>
      <c r="E78" s="27" t="s">
        <v>163</v>
      </c>
      <c r="F78" s="27" t="s">
        <v>167</v>
      </c>
      <c r="G78" s="28">
        <f>IF($J78="000",_xlfn.XLOOKUP($D78,'WP5 Elec Plant 13-mo'!$A$10:$A$66,'WP5 Elec Plant 13-mo'!$D$10:$D$66,""),_xlfn.XLOOKUP($D78,'WP5 Elec Plant 13-mo'!$A$10:$A$66,'WP5 Elec Plant 13-mo'!$E$10:$E$66,""))</f>
        <v>-10914457.709999999</v>
      </c>
      <c r="H78" s="29">
        <f>IF($J78="000",_xlfn.XLOOKUP($D78,'WP5 Elec Plant 13-mo'!$A$10:$A$66,'WP5 Elec Plant 13-mo'!$AN$10:$AN$66,""),_xlfn.XLOOKUP($D78,'WP5 Elec Plant 13-mo'!$A$10:$A$66,'WP5 Elec Plant 13-mo'!$AO$10:$AO$66,""))</f>
        <v>-11678184.489999998</v>
      </c>
      <c r="I78" s="29" t="s">
        <v>171</v>
      </c>
      <c r="J78" s="22" t="str">
        <f t="shared" si="2"/>
        <v>080</v>
      </c>
      <c r="K78" s="28"/>
      <c r="L78" s="28"/>
      <c r="M78" s="37"/>
      <c r="N78" s="37"/>
    </row>
    <row r="79" spans="1:14">
      <c r="A79" s="26">
        <f t="shared" si="3"/>
        <v>70</v>
      </c>
      <c r="B79" s="27" t="s">
        <v>269</v>
      </c>
      <c r="C79" s="27" t="s">
        <v>179</v>
      </c>
      <c r="D79" s="27" t="s">
        <v>90</v>
      </c>
      <c r="E79" s="27" t="s">
        <v>163</v>
      </c>
      <c r="F79" s="27" t="s">
        <v>167</v>
      </c>
      <c r="G79" s="28">
        <f>IF($J79="000",_xlfn.XLOOKUP($D79,'WP5 Elec Plant 13-mo'!$A$10:$A$66,'WP5 Elec Plant 13-mo'!$D$10:$D$66,""),_xlfn.XLOOKUP($D79,'WP5 Elec Plant 13-mo'!$A$10:$A$66,'WP5 Elec Plant 13-mo'!$E$10:$E$66,""))</f>
        <v>-3128773.8699999978</v>
      </c>
      <c r="H79" s="29">
        <f>IF($J79="000",_xlfn.XLOOKUP($D79,'WP5 Elec Plant 13-mo'!$A$10:$A$66,'WP5 Elec Plant 13-mo'!$AN$10:$AN$66,""),_xlfn.XLOOKUP($D79,'WP5 Elec Plant 13-mo'!$A$10:$A$66,'WP5 Elec Plant 13-mo'!$AO$10:$AO$66,""))</f>
        <v>-3145231.7799999975</v>
      </c>
      <c r="I79" s="29" t="s">
        <v>171</v>
      </c>
      <c r="J79" s="22" t="str">
        <f t="shared" si="2"/>
        <v>080</v>
      </c>
      <c r="K79" s="28"/>
      <c r="L79" s="28"/>
      <c r="M79" s="37"/>
      <c r="N79" s="37"/>
    </row>
    <row r="80" spans="1:14">
      <c r="A80" s="26">
        <f t="shared" si="3"/>
        <v>71</v>
      </c>
      <c r="B80" s="27" t="s">
        <v>270</v>
      </c>
      <c r="C80" s="27" t="s">
        <v>181</v>
      </c>
      <c r="D80" s="27" t="s">
        <v>91</v>
      </c>
      <c r="E80" s="27" t="s">
        <v>163</v>
      </c>
      <c r="F80" s="27" t="s">
        <v>167</v>
      </c>
      <c r="G80" s="28">
        <f>IF($J80="000",_xlfn.XLOOKUP($D80,'WP5 Elec Plant 13-mo'!$A$10:$A$66,'WP5 Elec Plant 13-mo'!$D$10:$D$66,""),_xlfn.XLOOKUP($D80,'WP5 Elec Plant 13-mo'!$A$10:$A$66,'WP5 Elec Plant 13-mo'!$E$10:$E$66,""))</f>
        <v>-351666.95999999979</v>
      </c>
      <c r="H80" s="29">
        <f>IF($J80="000",_xlfn.XLOOKUP($D80,'WP5 Elec Plant 13-mo'!$A$10:$A$66,'WP5 Elec Plant 13-mo'!$AN$10:$AN$66,""),_xlfn.XLOOKUP($D80,'WP5 Elec Plant 13-mo'!$A$10:$A$66,'WP5 Elec Plant 13-mo'!$AO$10:$AO$66,""))</f>
        <v>-361052.2199999998</v>
      </c>
      <c r="I80" s="29" t="s">
        <v>171</v>
      </c>
      <c r="J80" s="22" t="str">
        <f t="shared" si="2"/>
        <v>080</v>
      </c>
      <c r="K80" s="28"/>
      <c r="L80" s="28"/>
      <c r="M80" s="37"/>
      <c r="N80" s="37"/>
    </row>
    <row r="81" spans="1:14">
      <c r="A81" s="26">
        <f t="shared" si="3"/>
        <v>72</v>
      </c>
      <c r="B81" s="27" t="s">
        <v>271</v>
      </c>
      <c r="C81" s="27" t="s">
        <v>181</v>
      </c>
      <c r="D81" s="27" t="s">
        <v>154</v>
      </c>
      <c r="E81" s="27" t="s">
        <v>163</v>
      </c>
      <c r="F81" s="27" t="s">
        <v>167</v>
      </c>
      <c r="G81" s="28">
        <f>IF($J81="000",_xlfn.XLOOKUP($D81,'WP5 Elec Plant 13-mo'!$A$10:$A$66,'WP5 Elec Plant 13-mo'!$D$10:$D$66,""),_xlfn.XLOOKUP($D81,'WP5 Elec Plant 13-mo'!$A$10:$A$66,'WP5 Elec Plant 13-mo'!$E$10:$E$66,""))</f>
        <v>0</v>
      </c>
      <c r="H81" s="29">
        <f>IF($J81="000",_xlfn.XLOOKUP($D81,'WP5 Elec Plant 13-mo'!$A$10:$A$66,'WP5 Elec Plant 13-mo'!$AN$10:$AN$66,""),_xlfn.XLOOKUP($D81,'WP5 Elec Plant 13-mo'!$A$10:$A$66,'WP5 Elec Plant 13-mo'!$AO$10:$AO$66,""))</f>
        <v>0</v>
      </c>
      <c r="I81" s="29" t="s">
        <v>171</v>
      </c>
      <c r="J81" s="22" t="str">
        <f t="shared" si="2"/>
        <v>080</v>
      </c>
      <c r="K81" s="28"/>
      <c r="L81" s="28"/>
      <c r="M81" s="37"/>
      <c r="N81" s="37"/>
    </row>
    <row r="82" spans="1:14">
      <c r="A82" s="26">
        <f t="shared" si="3"/>
        <v>73</v>
      </c>
      <c r="B82" s="27" t="s">
        <v>272</v>
      </c>
      <c r="C82" s="27" t="s">
        <v>166</v>
      </c>
      <c r="D82" s="27" t="s">
        <v>92</v>
      </c>
      <c r="E82" s="27" t="s">
        <v>163</v>
      </c>
      <c r="F82" s="27" t="s">
        <v>167</v>
      </c>
      <c r="G82" s="28">
        <f>IF($J82="000",_xlfn.XLOOKUP($D82,'WP5 Elec Plant 13-mo'!$A$10:$A$66,'WP5 Elec Plant 13-mo'!$D$10:$D$66,""),_xlfn.XLOOKUP($D82,'WP5 Elec Plant 13-mo'!$A$10:$A$66,'WP5 Elec Plant 13-mo'!$E$10:$E$66,""))</f>
        <v>0</v>
      </c>
      <c r="H82" s="29">
        <f>IF($J82="000",_xlfn.XLOOKUP($D82,'WP5 Elec Plant 13-mo'!$A$10:$A$66,'WP5 Elec Plant 13-mo'!$AN$10:$AN$66,""),_xlfn.XLOOKUP($D82,'WP5 Elec Plant 13-mo'!$A$10:$A$66,'WP5 Elec Plant 13-mo'!$AO$10:$AO$66,""))</f>
        <v>0</v>
      </c>
      <c r="I82" s="29" t="s">
        <v>168</v>
      </c>
      <c r="J82" s="22" t="str">
        <f t="shared" si="2"/>
        <v>080</v>
      </c>
      <c r="K82" s="28"/>
      <c r="L82" s="28"/>
      <c r="M82" s="37"/>
      <c r="N82" s="37"/>
    </row>
    <row r="83" spans="1:14">
      <c r="A83" s="26">
        <f t="shared" si="3"/>
        <v>74</v>
      </c>
      <c r="B83" s="27" t="s">
        <v>273</v>
      </c>
      <c r="C83" s="27" t="s">
        <v>170</v>
      </c>
      <c r="D83" s="27" t="s">
        <v>94</v>
      </c>
      <c r="E83" s="27" t="s">
        <v>163</v>
      </c>
      <c r="F83" s="27" t="s">
        <v>167</v>
      </c>
      <c r="G83" s="28">
        <f>IF($J83="000",_xlfn.XLOOKUP($D83,'WP5 Elec Plant 13-mo'!$A$10:$A$66,'WP5 Elec Plant 13-mo'!$D$10:$D$66,""),_xlfn.XLOOKUP($D83,'WP5 Elec Plant 13-mo'!$A$10:$A$66,'WP5 Elec Plant 13-mo'!$E$10:$E$66,""))</f>
        <v>-19497935.059999995</v>
      </c>
      <c r="H83" s="29">
        <f>IF($J83="000",_xlfn.XLOOKUP($D83,'WP5 Elec Plant 13-mo'!$A$10:$A$66,'WP5 Elec Plant 13-mo'!$AN$10:$AN$66,""),_xlfn.XLOOKUP($D83,'WP5 Elec Plant 13-mo'!$A$10:$A$66,'WP5 Elec Plant 13-mo'!$AO$10:$AO$66,""))</f>
        <v>-20552669.239999998</v>
      </c>
      <c r="I83" s="29" t="s">
        <v>171</v>
      </c>
      <c r="J83" s="22" t="str">
        <f t="shared" si="2"/>
        <v>080</v>
      </c>
      <c r="K83" s="28"/>
      <c r="L83" s="28"/>
      <c r="M83" s="37"/>
      <c r="N83" s="37"/>
    </row>
    <row r="84" spans="1:14">
      <c r="A84" s="26">
        <f t="shared" si="3"/>
        <v>75</v>
      </c>
      <c r="B84" s="27" t="s">
        <v>274</v>
      </c>
      <c r="C84" s="27" t="s">
        <v>194</v>
      </c>
      <c r="D84" s="27" t="s">
        <v>95</v>
      </c>
      <c r="E84" s="27" t="s">
        <v>163</v>
      </c>
      <c r="F84" s="27" t="s">
        <v>167</v>
      </c>
      <c r="G84" s="28">
        <f>IF($J84="000",_xlfn.XLOOKUP($D84,'WP5 Elec Plant 13-mo'!$A$10:$A$66,'WP5 Elec Plant 13-mo'!$D$10:$D$66,""),_xlfn.XLOOKUP($D84,'WP5 Elec Plant 13-mo'!$A$10:$A$66,'WP5 Elec Plant 13-mo'!$E$10:$E$66,""))</f>
        <v>-704796.82</v>
      </c>
      <c r="H84" s="29">
        <f>IF($J84="000",_xlfn.XLOOKUP($D84,'WP5 Elec Plant 13-mo'!$A$10:$A$66,'WP5 Elec Plant 13-mo'!$AN$10:$AN$66,""),_xlfn.XLOOKUP($D84,'WP5 Elec Plant 13-mo'!$A$10:$A$66,'WP5 Elec Plant 13-mo'!$AO$10:$AO$66,""))</f>
        <v>-1057631.5600000005</v>
      </c>
      <c r="I84" s="29" t="s">
        <v>171</v>
      </c>
      <c r="J84" s="22" t="str">
        <f t="shared" si="2"/>
        <v>080</v>
      </c>
      <c r="K84" s="28"/>
      <c r="L84" s="28"/>
      <c r="M84" s="37"/>
      <c r="N84" s="37"/>
    </row>
    <row r="85" spans="1:14">
      <c r="A85" s="26">
        <f t="shared" si="3"/>
        <v>76</v>
      </c>
      <c r="B85" s="27" t="s">
        <v>275</v>
      </c>
      <c r="C85" s="27" t="s">
        <v>196</v>
      </c>
      <c r="D85" s="27" t="s">
        <v>97</v>
      </c>
      <c r="E85" s="27" t="s">
        <v>163</v>
      </c>
      <c r="F85" s="27" t="s">
        <v>167</v>
      </c>
      <c r="G85" s="28">
        <f>IF($J85="000",_xlfn.XLOOKUP($D85,'WP5 Elec Plant 13-mo'!$A$10:$A$66,'WP5 Elec Plant 13-mo'!$D$10:$D$66,""),_xlfn.XLOOKUP($D85,'WP5 Elec Plant 13-mo'!$A$10:$A$66,'WP5 Elec Plant 13-mo'!$E$10:$E$66,""))</f>
        <v>-237609800.36999997</v>
      </c>
      <c r="H85" s="29">
        <f>IF($J85="000",_xlfn.XLOOKUP($D85,'WP5 Elec Plant 13-mo'!$A$10:$A$66,'WP5 Elec Plant 13-mo'!$AN$10:$AN$66,""),_xlfn.XLOOKUP($D85,'WP5 Elec Plant 13-mo'!$A$10:$A$66,'WP5 Elec Plant 13-mo'!$AO$10:$AO$66,""))</f>
        <v>-258755885.01999998</v>
      </c>
      <c r="I85" s="29" t="s">
        <v>171</v>
      </c>
      <c r="J85" s="22" t="str">
        <f t="shared" si="2"/>
        <v>080</v>
      </c>
      <c r="K85" s="28"/>
      <c r="L85" s="28"/>
      <c r="M85" s="37"/>
      <c r="N85" s="37"/>
    </row>
    <row r="86" spans="1:14">
      <c r="A86" s="26">
        <f t="shared" si="3"/>
        <v>77</v>
      </c>
      <c r="B86" s="27" t="s">
        <v>276</v>
      </c>
      <c r="C86" s="27" t="s">
        <v>198</v>
      </c>
      <c r="D86" s="27" t="s">
        <v>98</v>
      </c>
      <c r="E86" s="27" t="s">
        <v>163</v>
      </c>
      <c r="F86" s="27" t="s">
        <v>167</v>
      </c>
      <c r="G86" s="28">
        <f>IF($J86="000",_xlfn.XLOOKUP($D86,'WP5 Elec Plant 13-mo'!$A$10:$A$66,'WP5 Elec Plant 13-mo'!$D$10:$D$66,""),_xlfn.XLOOKUP($D86,'WP5 Elec Plant 13-mo'!$A$10:$A$66,'WP5 Elec Plant 13-mo'!$E$10:$E$66,""))</f>
        <v>-19404838.870000001</v>
      </c>
      <c r="H86" s="29">
        <f>IF($J86="000",_xlfn.XLOOKUP($D86,'WP5 Elec Plant 13-mo'!$A$10:$A$66,'WP5 Elec Plant 13-mo'!$AN$10:$AN$66,""),_xlfn.XLOOKUP($D86,'WP5 Elec Plant 13-mo'!$A$10:$A$66,'WP5 Elec Plant 13-mo'!$AO$10:$AO$66,""))</f>
        <v>-24871196.670000002</v>
      </c>
      <c r="I86" s="29" t="s">
        <v>171</v>
      </c>
      <c r="J86" s="22" t="str">
        <f t="shared" si="2"/>
        <v>080</v>
      </c>
      <c r="K86" s="28"/>
      <c r="L86" s="28"/>
      <c r="M86" s="37"/>
      <c r="N86" s="37"/>
    </row>
    <row r="87" spans="1:14">
      <c r="A87" s="26">
        <f t="shared" si="3"/>
        <v>78</v>
      </c>
      <c r="B87" s="27" t="s">
        <v>277</v>
      </c>
      <c r="C87" s="27" t="s">
        <v>198</v>
      </c>
      <c r="D87" s="27" t="s">
        <v>100</v>
      </c>
      <c r="E87" s="27" t="s">
        <v>163</v>
      </c>
      <c r="F87" s="27" t="s">
        <v>167</v>
      </c>
      <c r="G87" s="28">
        <f>IF($J87="000",_xlfn.XLOOKUP($D87,'WP5 Elec Plant 13-mo'!$A$10:$A$66,'WP5 Elec Plant 13-mo'!$D$10:$D$66,""),_xlfn.XLOOKUP($D87,'WP5 Elec Plant 13-mo'!$A$10:$A$66,'WP5 Elec Plant 13-mo'!$E$10:$E$66,""))</f>
        <v>-1549258.0699999987</v>
      </c>
      <c r="H87" s="29">
        <f>IF($J87="000",_xlfn.XLOOKUP($D87,'WP5 Elec Plant 13-mo'!$A$10:$A$66,'WP5 Elec Plant 13-mo'!$AN$10:$AN$66,""),_xlfn.XLOOKUP($D87,'WP5 Elec Plant 13-mo'!$A$10:$A$66,'WP5 Elec Plant 13-mo'!$AO$10:$AO$66,""))</f>
        <v>-2197153.6600000006</v>
      </c>
      <c r="I87" s="29" t="s">
        <v>171</v>
      </c>
      <c r="J87" s="22" t="str">
        <f t="shared" si="2"/>
        <v>080</v>
      </c>
      <c r="K87" s="28"/>
      <c r="L87" s="28"/>
      <c r="M87" s="37"/>
      <c r="N87" s="37"/>
    </row>
    <row r="88" spans="1:14">
      <c r="A88" s="26">
        <f t="shared" si="3"/>
        <v>79</v>
      </c>
      <c r="B88" s="27" t="s">
        <v>278</v>
      </c>
      <c r="C88" s="27" t="s">
        <v>181</v>
      </c>
      <c r="D88" s="27" t="s">
        <v>101</v>
      </c>
      <c r="E88" s="27" t="s">
        <v>163</v>
      </c>
      <c r="F88" s="27" t="s">
        <v>167</v>
      </c>
      <c r="G88" s="28">
        <f>IF($J88="000",_xlfn.XLOOKUP($D88,'WP5 Elec Plant 13-mo'!$A$10:$A$66,'WP5 Elec Plant 13-mo'!$D$10:$D$66,""),_xlfn.XLOOKUP($D88,'WP5 Elec Plant 13-mo'!$A$10:$A$66,'WP5 Elec Plant 13-mo'!$E$10:$E$66,""))</f>
        <v>-2016689.7499999995</v>
      </c>
      <c r="H88" s="29">
        <f>IF($J88="000",_xlfn.XLOOKUP($D88,'WP5 Elec Plant 13-mo'!$A$10:$A$66,'WP5 Elec Plant 13-mo'!$AN$10:$AN$66,""),_xlfn.XLOOKUP($D88,'WP5 Elec Plant 13-mo'!$A$10:$A$66,'WP5 Elec Plant 13-mo'!$AO$10:$AO$66,""))</f>
        <v>-3127376.27</v>
      </c>
      <c r="I88" s="29" t="s">
        <v>171</v>
      </c>
      <c r="J88" s="22" t="str">
        <f t="shared" si="2"/>
        <v>080</v>
      </c>
      <c r="K88" s="28"/>
      <c r="L88" s="28"/>
      <c r="M88" s="37"/>
      <c r="N88" s="37"/>
    </row>
    <row r="89" spans="1:14">
      <c r="A89" s="26">
        <f t="shared" si="3"/>
        <v>80</v>
      </c>
      <c r="B89" s="27" t="s">
        <v>279</v>
      </c>
      <c r="C89" s="27" t="s">
        <v>166</v>
      </c>
      <c r="D89" s="27" t="s">
        <v>102</v>
      </c>
      <c r="E89" s="27" t="s">
        <v>163</v>
      </c>
      <c r="F89" s="27" t="s">
        <v>202</v>
      </c>
      <c r="G89" s="28">
        <f>IF($J89="000",_xlfn.XLOOKUP($D89,'WP5 Elec Plant 13-mo'!$A$10:$A$66,'WP5 Elec Plant 13-mo'!$D$10:$D$66,""),_xlfn.XLOOKUP($D89,'WP5 Elec Plant 13-mo'!$A$10:$A$66,'WP5 Elec Plant 13-mo'!$E$10:$E$66,""))</f>
        <v>0</v>
      </c>
      <c r="H89" s="29">
        <f>IF($J89="000",_xlfn.XLOOKUP($D89,'WP5 Elec Plant 13-mo'!$A$10:$A$66,'WP5 Elec Plant 13-mo'!$AN$10:$AN$66,""),_xlfn.XLOOKUP($D89,'WP5 Elec Plant 13-mo'!$A$10:$A$66,'WP5 Elec Plant 13-mo'!$AO$10:$AO$66,""))</f>
        <v>0</v>
      </c>
      <c r="I89" s="29" t="s">
        <v>168</v>
      </c>
      <c r="J89" s="22" t="str">
        <f t="shared" si="2"/>
        <v>080</v>
      </c>
      <c r="K89" s="28"/>
      <c r="L89" s="28"/>
      <c r="M89" s="37"/>
      <c r="N89" s="37"/>
    </row>
    <row r="90" spans="1:14">
      <c r="A90" s="26">
        <f t="shared" si="3"/>
        <v>81</v>
      </c>
      <c r="B90" s="27" t="s">
        <v>280</v>
      </c>
      <c r="C90" s="27" t="s">
        <v>170</v>
      </c>
      <c r="D90" s="27" t="s">
        <v>103</v>
      </c>
      <c r="E90" s="27" t="s">
        <v>163</v>
      </c>
      <c r="F90" s="27" t="s">
        <v>202</v>
      </c>
      <c r="G90" s="28">
        <f>IF($J90="000",_xlfn.XLOOKUP($D90,'WP5 Elec Plant 13-mo'!$A$10:$A$66,'WP5 Elec Plant 13-mo'!$D$10:$D$66,""),_xlfn.XLOOKUP($D90,'WP5 Elec Plant 13-mo'!$A$10:$A$66,'WP5 Elec Plant 13-mo'!$E$10:$E$66,""))</f>
        <v>-4200095.72</v>
      </c>
      <c r="H90" s="29">
        <f>IF($J90="000",_xlfn.XLOOKUP($D90,'WP5 Elec Plant 13-mo'!$A$10:$A$66,'WP5 Elec Plant 13-mo'!$AN$10:$AN$66,""),_xlfn.XLOOKUP($D90,'WP5 Elec Plant 13-mo'!$A$10:$A$66,'WP5 Elec Plant 13-mo'!$AO$10:$AO$66,""))</f>
        <v>-5161889.5700000012</v>
      </c>
      <c r="I90" s="29" t="s">
        <v>171</v>
      </c>
      <c r="J90" s="22" t="str">
        <f t="shared" si="2"/>
        <v>080</v>
      </c>
      <c r="K90" s="28"/>
      <c r="L90" s="28"/>
      <c r="M90" s="37"/>
      <c r="N90" s="37"/>
    </row>
    <row r="91" spans="1:14">
      <c r="A91" s="26">
        <f t="shared" si="3"/>
        <v>82</v>
      </c>
      <c r="B91" s="27" t="s">
        <v>281</v>
      </c>
      <c r="C91" s="27" t="s">
        <v>87</v>
      </c>
      <c r="D91" s="27" t="s">
        <v>106</v>
      </c>
      <c r="E91" s="27" t="s">
        <v>163</v>
      </c>
      <c r="F91" s="27" t="s">
        <v>202</v>
      </c>
      <c r="G91" s="28">
        <f>IF($J91="000",_xlfn.XLOOKUP($D91,'WP5 Elec Plant 13-mo'!$A$10:$A$66,'WP5 Elec Plant 13-mo'!$D$10:$D$66,""),_xlfn.XLOOKUP($D91,'WP5 Elec Plant 13-mo'!$A$10:$A$66,'WP5 Elec Plant 13-mo'!$E$10:$E$66,""))</f>
        <v>-59109713.639999993</v>
      </c>
      <c r="H91" s="29">
        <f>IF($J91="000",_xlfn.XLOOKUP($D91,'WP5 Elec Plant 13-mo'!$A$10:$A$66,'WP5 Elec Plant 13-mo'!$AN$10:$AN$66,""),_xlfn.XLOOKUP($D91,'WP5 Elec Plant 13-mo'!$A$10:$A$66,'WP5 Elec Plant 13-mo'!$AO$10:$AO$66,""))</f>
        <v>-62865031.629999988</v>
      </c>
      <c r="I91" s="29" t="s">
        <v>171</v>
      </c>
      <c r="J91" s="22" t="str">
        <f t="shared" si="2"/>
        <v>080</v>
      </c>
      <c r="K91" s="28"/>
      <c r="L91" s="28"/>
      <c r="M91" s="37"/>
      <c r="N91" s="37"/>
    </row>
    <row r="92" spans="1:14">
      <c r="A92" s="26">
        <f t="shared" si="3"/>
        <v>83</v>
      </c>
      <c r="B92" s="27" t="s">
        <v>282</v>
      </c>
      <c r="C92" s="27" t="s">
        <v>206</v>
      </c>
      <c r="D92" s="27" t="s">
        <v>107</v>
      </c>
      <c r="E92" s="27" t="s">
        <v>163</v>
      </c>
      <c r="F92" s="27" t="s">
        <v>202</v>
      </c>
      <c r="G92" s="28">
        <f>IF($J92="000",_xlfn.XLOOKUP($D92,'WP5 Elec Plant 13-mo'!$A$10:$A$66,'WP5 Elec Plant 13-mo'!$D$10:$D$66,""),_xlfn.XLOOKUP($D92,'WP5 Elec Plant 13-mo'!$A$10:$A$66,'WP5 Elec Plant 13-mo'!$E$10:$E$66,""))</f>
        <v>-3520882.51</v>
      </c>
      <c r="H92" s="29">
        <f>IF($J92="000",_xlfn.XLOOKUP($D92,'WP5 Elec Plant 13-mo'!$A$10:$A$66,'WP5 Elec Plant 13-mo'!$AN$10:$AN$66,""),_xlfn.XLOOKUP($D92,'WP5 Elec Plant 13-mo'!$A$10:$A$66,'WP5 Elec Plant 13-mo'!$AO$10:$AO$66,""))</f>
        <v>-3773778.02</v>
      </c>
      <c r="I92" s="29" t="s">
        <v>171</v>
      </c>
      <c r="J92" s="22" t="str">
        <f t="shared" si="2"/>
        <v>080</v>
      </c>
      <c r="K92" s="28"/>
      <c r="L92" s="28"/>
      <c r="M92" s="37"/>
      <c r="N92" s="37"/>
    </row>
    <row r="93" spans="1:14">
      <c r="A93" s="26">
        <f t="shared" si="3"/>
        <v>84</v>
      </c>
      <c r="B93" s="27" t="s">
        <v>283</v>
      </c>
      <c r="C93" s="27" t="s">
        <v>208</v>
      </c>
      <c r="D93" s="27" t="s">
        <v>108</v>
      </c>
      <c r="E93" s="27" t="s">
        <v>163</v>
      </c>
      <c r="F93" s="27" t="s">
        <v>202</v>
      </c>
      <c r="G93" s="28">
        <f>IF($J93="000",_xlfn.XLOOKUP($D93,'WP5 Elec Plant 13-mo'!$A$10:$A$66,'WP5 Elec Plant 13-mo'!$D$10:$D$66,""),_xlfn.XLOOKUP($D93,'WP5 Elec Plant 13-mo'!$A$10:$A$66,'WP5 Elec Plant 13-mo'!$E$10:$E$66,""))</f>
        <v>-21475275.949999996</v>
      </c>
      <c r="H93" s="29">
        <f>IF($J93="000",_xlfn.XLOOKUP($D93,'WP5 Elec Plant 13-mo'!$A$10:$A$66,'WP5 Elec Plant 13-mo'!$AN$10:$AN$66,""),_xlfn.XLOOKUP($D93,'WP5 Elec Plant 13-mo'!$A$10:$A$66,'WP5 Elec Plant 13-mo'!$AO$10:$AO$66,""))</f>
        <v>-21794602.049999997</v>
      </c>
      <c r="I93" s="29" t="s">
        <v>171</v>
      </c>
      <c r="J93" s="22" t="str">
        <f t="shared" si="2"/>
        <v>080</v>
      </c>
      <c r="K93" s="28"/>
      <c r="L93" s="28"/>
      <c r="M93" s="37"/>
      <c r="N93" s="37"/>
    </row>
    <row r="94" spans="1:14">
      <c r="A94" s="26">
        <f t="shared" si="3"/>
        <v>85</v>
      </c>
      <c r="B94" s="27" t="s">
        <v>284</v>
      </c>
      <c r="C94" s="27" t="s">
        <v>210</v>
      </c>
      <c r="D94" s="27" t="s">
        <v>109</v>
      </c>
      <c r="E94" s="27" t="s">
        <v>163</v>
      </c>
      <c r="F94" s="27" t="s">
        <v>202</v>
      </c>
      <c r="G94" s="28">
        <f>IF($J94="000",_xlfn.XLOOKUP($D94,'WP5 Elec Plant 13-mo'!$A$10:$A$66,'WP5 Elec Plant 13-mo'!$D$10:$D$66,""),_xlfn.XLOOKUP($D94,'WP5 Elec Plant 13-mo'!$A$10:$A$66,'WP5 Elec Plant 13-mo'!$E$10:$E$66,""))</f>
        <v>-6898131.5199999977</v>
      </c>
      <c r="H94" s="29">
        <f>IF($J94="000",_xlfn.XLOOKUP($D94,'WP5 Elec Plant 13-mo'!$A$10:$A$66,'WP5 Elec Plant 13-mo'!$AN$10:$AN$66,""),_xlfn.XLOOKUP($D94,'WP5 Elec Plant 13-mo'!$A$10:$A$66,'WP5 Elec Plant 13-mo'!$AO$10:$AO$66,""))</f>
        <v>-7168388.589999998</v>
      </c>
      <c r="I94" s="29" t="s">
        <v>171</v>
      </c>
      <c r="J94" s="22" t="str">
        <f t="shared" si="2"/>
        <v>080</v>
      </c>
      <c r="K94" s="28"/>
      <c r="L94" s="28"/>
      <c r="M94" s="37"/>
      <c r="N94" s="37"/>
    </row>
    <row r="95" spans="1:14">
      <c r="A95" s="26">
        <f t="shared" si="3"/>
        <v>86</v>
      </c>
      <c r="B95" s="27" t="s">
        <v>285</v>
      </c>
      <c r="C95" s="27" t="s">
        <v>93</v>
      </c>
      <c r="D95" s="27" t="s">
        <v>110</v>
      </c>
      <c r="E95" s="27" t="s">
        <v>163</v>
      </c>
      <c r="F95" s="27" t="s">
        <v>202</v>
      </c>
      <c r="G95" s="28">
        <f>IF($J95="000",_xlfn.XLOOKUP($D95,'WP5 Elec Plant 13-mo'!$A$10:$A$66,'WP5 Elec Plant 13-mo'!$D$10:$D$66,""),_xlfn.XLOOKUP($D95,'WP5 Elec Plant 13-mo'!$A$10:$A$66,'WP5 Elec Plant 13-mo'!$E$10:$E$66,""))</f>
        <v>-14871840</v>
      </c>
      <c r="H95" s="29">
        <f>IF($J95="000",_xlfn.XLOOKUP($D95,'WP5 Elec Plant 13-mo'!$A$10:$A$66,'WP5 Elec Plant 13-mo'!$AN$10:$AN$66,""),_xlfn.XLOOKUP($D95,'WP5 Elec Plant 13-mo'!$A$10:$A$66,'WP5 Elec Plant 13-mo'!$AO$10:$AO$66,""))</f>
        <v>-15658288.899999999</v>
      </c>
      <c r="I95" s="29" t="s">
        <v>171</v>
      </c>
      <c r="J95" s="22" t="str">
        <f t="shared" si="2"/>
        <v>080</v>
      </c>
      <c r="K95" s="28"/>
      <c r="L95" s="28"/>
      <c r="M95" s="37"/>
      <c r="N95" s="37"/>
    </row>
    <row r="96" spans="1:14">
      <c r="A96" s="26">
        <f t="shared" si="3"/>
        <v>87</v>
      </c>
      <c r="B96" s="27" t="s">
        <v>286</v>
      </c>
      <c r="C96" s="27" t="s">
        <v>213</v>
      </c>
      <c r="D96" s="27" t="s">
        <v>111</v>
      </c>
      <c r="E96" s="27" t="s">
        <v>163</v>
      </c>
      <c r="F96" s="27" t="s">
        <v>202</v>
      </c>
      <c r="G96" s="28">
        <f>IF($J96="000",_xlfn.XLOOKUP($D96,'WP5 Elec Plant 13-mo'!$A$10:$A$66,'WP5 Elec Plant 13-mo'!$D$10:$D$66,""),_xlfn.XLOOKUP($D96,'WP5 Elec Plant 13-mo'!$A$10:$A$66,'WP5 Elec Plant 13-mo'!$E$10:$E$66,""))</f>
        <v>-10554218.349999998</v>
      </c>
      <c r="H96" s="29">
        <f>IF($J96="000",_xlfn.XLOOKUP($D96,'WP5 Elec Plant 13-mo'!$A$10:$A$66,'WP5 Elec Plant 13-mo'!$AN$10:$AN$66,""),_xlfn.XLOOKUP($D96,'WP5 Elec Plant 13-mo'!$A$10:$A$66,'WP5 Elec Plant 13-mo'!$AO$10:$AO$66,""))</f>
        <v>-10894407.049999997</v>
      </c>
      <c r="I96" s="29" t="s">
        <v>171</v>
      </c>
      <c r="J96" s="22" t="str">
        <f t="shared" si="2"/>
        <v>080</v>
      </c>
      <c r="K96" s="28"/>
      <c r="L96" s="28"/>
      <c r="M96" s="37"/>
      <c r="N96" s="37"/>
    </row>
    <row r="97" spans="1:14">
      <c r="A97" s="26">
        <f t="shared" si="3"/>
        <v>88</v>
      </c>
      <c r="B97" s="27" t="s">
        <v>287</v>
      </c>
      <c r="C97" s="27" t="s">
        <v>215</v>
      </c>
      <c r="D97" s="27" t="s">
        <v>112</v>
      </c>
      <c r="E97" s="27" t="s">
        <v>163</v>
      </c>
      <c r="F97" s="27" t="s">
        <v>202</v>
      </c>
      <c r="G97" s="28">
        <f>IF($J97="000",_xlfn.XLOOKUP($D97,'WP5 Elec Plant 13-mo'!$A$10:$A$66,'WP5 Elec Plant 13-mo'!$D$10:$D$66,""),_xlfn.XLOOKUP($D97,'WP5 Elec Plant 13-mo'!$A$10:$A$66,'WP5 Elec Plant 13-mo'!$E$10:$E$66,""))</f>
        <v>-23456.719999999979</v>
      </c>
      <c r="H97" s="29">
        <f>IF($J97="000",_xlfn.XLOOKUP($D97,'WP5 Elec Plant 13-mo'!$A$10:$A$66,'WP5 Elec Plant 13-mo'!$AN$10:$AN$66,""),_xlfn.XLOOKUP($D97,'WP5 Elec Plant 13-mo'!$A$10:$A$66,'WP5 Elec Plant 13-mo'!$AO$10:$AO$66,""))</f>
        <v>-23571.479999999978</v>
      </c>
      <c r="I97" s="29" t="s">
        <v>171</v>
      </c>
      <c r="J97" s="22" t="str">
        <f t="shared" si="2"/>
        <v>080</v>
      </c>
      <c r="K97" s="28"/>
      <c r="L97" s="28"/>
      <c r="M97" s="37"/>
      <c r="N97" s="37"/>
    </row>
    <row r="98" spans="1:14">
      <c r="A98" s="26">
        <f t="shared" si="3"/>
        <v>89</v>
      </c>
      <c r="B98" s="27" t="s">
        <v>288</v>
      </c>
      <c r="C98" s="27" t="s">
        <v>166</v>
      </c>
      <c r="D98" s="27" t="s">
        <v>113</v>
      </c>
      <c r="E98" s="27" t="s">
        <v>163</v>
      </c>
      <c r="F98" s="27" t="s">
        <v>217</v>
      </c>
      <c r="G98" s="28">
        <f>IF($J98="000",_xlfn.XLOOKUP($D98,'WP5 Elec Plant 13-mo'!$A$10:$A$66,'WP5 Elec Plant 13-mo'!$D$10:$D$66,""),_xlfn.XLOOKUP($D98,'WP5 Elec Plant 13-mo'!$A$10:$A$66,'WP5 Elec Plant 13-mo'!$E$10:$E$66,""))</f>
        <v>0</v>
      </c>
      <c r="H98" s="29">
        <f>IF($J98="000",_xlfn.XLOOKUP($D98,'WP5 Elec Plant 13-mo'!$A$10:$A$66,'WP5 Elec Plant 13-mo'!$AN$10:$AN$66,""),_xlfn.XLOOKUP($D98,'WP5 Elec Plant 13-mo'!$A$10:$A$66,'WP5 Elec Plant 13-mo'!$AO$10:$AO$66,""))</f>
        <v>0</v>
      </c>
      <c r="I98" s="29" t="s">
        <v>168</v>
      </c>
      <c r="J98" s="22" t="str">
        <f t="shared" si="2"/>
        <v>080</v>
      </c>
      <c r="K98" s="28"/>
      <c r="L98" s="28"/>
      <c r="M98" s="37"/>
      <c r="N98" s="37"/>
    </row>
    <row r="99" spans="1:14">
      <c r="A99" s="26">
        <f t="shared" si="3"/>
        <v>90</v>
      </c>
      <c r="B99" s="27" t="s">
        <v>289</v>
      </c>
      <c r="C99" s="27" t="s">
        <v>170</v>
      </c>
      <c r="D99" s="27" t="s">
        <v>114</v>
      </c>
      <c r="E99" s="27" t="s">
        <v>163</v>
      </c>
      <c r="F99" s="27" t="s">
        <v>217</v>
      </c>
      <c r="G99" s="28">
        <f>IF($J99="000",_xlfn.XLOOKUP($D99,'WP5 Elec Plant 13-mo'!$A$10:$A$66,'WP5 Elec Plant 13-mo'!$D$10:$D$66,""),_xlfn.XLOOKUP($D99,'WP5 Elec Plant 13-mo'!$A$10:$A$66,'WP5 Elec Plant 13-mo'!$E$10:$E$66,""))</f>
        <v>-18019406.84</v>
      </c>
      <c r="H99" s="29">
        <f>IF($J99="000",_xlfn.XLOOKUP($D99,'WP5 Elec Plant 13-mo'!$A$10:$A$66,'WP5 Elec Plant 13-mo'!$AN$10:$AN$66,""),_xlfn.XLOOKUP($D99,'WP5 Elec Plant 13-mo'!$A$10:$A$66,'WP5 Elec Plant 13-mo'!$AO$10:$AO$66,""))</f>
        <v>-18712179.060000002</v>
      </c>
      <c r="I99" s="29" t="s">
        <v>171</v>
      </c>
      <c r="J99" s="22" t="str">
        <f t="shared" si="2"/>
        <v>080</v>
      </c>
      <c r="K99" s="28"/>
      <c r="L99" s="28"/>
      <c r="M99" s="37"/>
      <c r="N99" s="37"/>
    </row>
    <row r="100" spans="1:14">
      <c r="A100" s="26">
        <f t="shared" si="3"/>
        <v>91</v>
      </c>
      <c r="B100" s="27" t="s">
        <v>290</v>
      </c>
      <c r="C100" s="27" t="s">
        <v>87</v>
      </c>
      <c r="D100" s="27" t="s">
        <v>115</v>
      </c>
      <c r="E100" s="27" t="s">
        <v>163</v>
      </c>
      <c r="F100" s="27" t="s">
        <v>217</v>
      </c>
      <c r="G100" s="28">
        <f>IF($J100="000",_xlfn.XLOOKUP($D100,'WP5 Elec Plant 13-mo'!$A$10:$A$66,'WP5 Elec Plant 13-mo'!$D$10:$D$66,""),_xlfn.XLOOKUP($D100,'WP5 Elec Plant 13-mo'!$A$10:$A$66,'WP5 Elec Plant 13-mo'!$E$10:$E$66,""))</f>
        <v>-89298338.710000023</v>
      </c>
      <c r="H100" s="29">
        <f>IF($J100="000",_xlfn.XLOOKUP($D100,'WP5 Elec Plant 13-mo'!$A$10:$A$66,'WP5 Elec Plant 13-mo'!$AN$10:$AN$66,""),_xlfn.XLOOKUP($D100,'WP5 Elec Plant 13-mo'!$A$10:$A$66,'WP5 Elec Plant 13-mo'!$AO$10:$AO$66,""))</f>
        <v>-94102290.210000023</v>
      </c>
      <c r="I100" s="29" t="s">
        <v>171</v>
      </c>
      <c r="J100" s="22" t="str">
        <f t="shared" si="2"/>
        <v>080</v>
      </c>
      <c r="K100" s="28"/>
      <c r="L100" s="28"/>
      <c r="M100" s="37"/>
      <c r="N100" s="37"/>
    </row>
    <row r="101" spans="1:14">
      <c r="A101" s="26">
        <f t="shared" si="3"/>
        <v>92</v>
      </c>
      <c r="B101" s="27" t="s">
        <v>291</v>
      </c>
      <c r="C101" s="27" t="s">
        <v>89</v>
      </c>
      <c r="D101" s="27" t="s">
        <v>116</v>
      </c>
      <c r="E101" s="27" t="s">
        <v>163</v>
      </c>
      <c r="F101" s="27" t="s">
        <v>217</v>
      </c>
      <c r="G101" s="28">
        <f>IF($J101="000",_xlfn.XLOOKUP($D101,'WP5 Elec Plant 13-mo'!$A$10:$A$66,'WP5 Elec Plant 13-mo'!$D$10:$D$66,""),_xlfn.XLOOKUP($D101,'WP5 Elec Plant 13-mo'!$A$10:$A$66,'WP5 Elec Plant 13-mo'!$E$10:$E$66,""))</f>
        <v>-1250876.9799999995</v>
      </c>
      <c r="H101" s="29">
        <f>IF($J101="000",_xlfn.XLOOKUP($D101,'WP5 Elec Plant 13-mo'!$A$10:$A$66,'WP5 Elec Plant 13-mo'!$AN$10:$AN$66,""),_xlfn.XLOOKUP($D101,'WP5 Elec Plant 13-mo'!$A$10:$A$66,'WP5 Elec Plant 13-mo'!$AO$10:$AO$66,""))</f>
        <v>-1300178.0499999996</v>
      </c>
      <c r="I101" s="29" t="s">
        <v>171</v>
      </c>
      <c r="J101" s="22" t="str">
        <f t="shared" si="2"/>
        <v>080</v>
      </c>
      <c r="K101" s="28"/>
      <c r="L101" s="28"/>
      <c r="M101" s="37"/>
      <c r="N101" s="37"/>
    </row>
    <row r="102" spans="1:14">
      <c r="A102" s="26">
        <f t="shared" si="3"/>
        <v>93</v>
      </c>
      <c r="B102" s="27" t="s">
        <v>292</v>
      </c>
      <c r="C102" s="27" t="s">
        <v>222</v>
      </c>
      <c r="D102" s="27" t="s">
        <v>117</v>
      </c>
      <c r="E102" s="27" t="s">
        <v>163</v>
      </c>
      <c r="F102" s="27" t="s">
        <v>217</v>
      </c>
      <c r="G102" s="28">
        <f>IF($J102="000",_xlfn.XLOOKUP($D102,'WP5 Elec Plant 13-mo'!$A$10:$A$66,'WP5 Elec Plant 13-mo'!$D$10:$D$66,""),_xlfn.XLOOKUP($D102,'WP5 Elec Plant 13-mo'!$A$10:$A$66,'WP5 Elec Plant 13-mo'!$E$10:$E$66,""))</f>
        <v>-68835607.650000021</v>
      </c>
      <c r="H102" s="29">
        <f>IF($J102="000",_xlfn.XLOOKUP($D102,'WP5 Elec Plant 13-mo'!$A$10:$A$66,'WP5 Elec Plant 13-mo'!$AN$10:$AN$66,""),_xlfn.XLOOKUP($D102,'WP5 Elec Plant 13-mo'!$A$10:$A$66,'WP5 Elec Plant 13-mo'!$AO$10:$AO$66,""))</f>
        <v>-71233549.909999982</v>
      </c>
      <c r="I102" s="29" t="s">
        <v>171</v>
      </c>
      <c r="J102" s="22" t="str">
        <f t="shared" si="2"/>
        <v>080</v>
      </c>
      <c r="K102" s="28"/>
      <c r="L102" s="28"/>
      <c r="M102" s="37"/>
      <c r="N102" s="37"/>
    </row>
    <row r="103" spans="1:14">
      <c r="A103" s="26">
        <f t="shared" si="3"/>
        <v>94</v>
      </c>
      <c r="B103" s="27" t="s">
        <v>293</v>
      </c>
      <c r="C103" s="27" t="s">
        <v>210</v>
      </c>
      <c r="D103" s="27" t="s">
        <v>118</v>
      </c>
      <c r="E103" s="27" t="s">
        <v>163</v>
      </c>
      <c r="F103" s="27" t="s">
        <v>217</v>
      </c>
      <c r="G103" s="28">
        <f>IF($J103="000",_xlfn.XLOOKUP($D103,'WP5 Elec Plant 13-mo'!$A$10:$A$66,'WP5 Elec Plant 13-mo'!$D$10:$D$66,""),_xlfn.XLOOKUP($D103,'WP5 Elec Plant 13-mo'!$A$10:$A$66,'WP5 Elec Plant 13-mo'!$E$10:$E$66,""))</f>
        <v>-38390083.170000002</v>
      </c>
      <c r="H103" s="29">
        <f>IF($J103="000",_xlfn.XLOOKUP($D103,'WP5 Elec Plant 13-mo'!$A$10:$A$66,'WP5 Elec Plant 13-mo'!$AN$10:$AN$66,""),_xlfn.XLOOKUP($D103,'WP5 Elec Plant 13-mo'!$A$10:$A$66,'WP5 Elec Plant 13-mo'!$AO$10:$AO$66,""))</f>
        <v>-39453216.420000002</v>
      </c>
      <c r="I103" s="29" t="s">
        <v>171</v>
      </c>
      <c r="J103" s="22" t="str">
        <f t="shared" si="2"/>
        <v>080</v>
      </c>
      <c r="K103" s="28"/>
      <c r="L103" s="28"/>
      <c r="M103" s="37"/>
      <c r="N103" s="37"/>
    </row>
    <row r="104" spans="1:14">
      <c r="A104" s="26">
        <f t="shared" si="3"/>
        <v>95</v>
      </c>
      <c r="B104" s="27" t="s">
        <v>294</v>
      </c>
      <c r="C104" s="27" t="s">
        <v>93</v>
      </c>
      <c r="D104" s="27" t="s">
        <v>119</v>
      </c>
      <c r="E104" s="27" t="s">
        <v>163</v>
      </c>
      <c r="F104" s="27" t="s">
        <v>217</v>
      </c>
      <c r="G104" s="28">
        <f>IF($J104="000",_xlfn.XLOOKUP($D104,'WP5 Elec Plant 13-mo'!$A$10:$A$66,'WP5 Elec Plant 13-mo'!$D$10:$D$66,""),_xlfn.XLOOKUP($D104,'WP5 Elec Plant 13-mo'!$A$10:$A$66,'WP5 Elec Plant 13-mo'!$E$10:$E$66,""))</f>
        <v>-186135270.72999993</v>
      </c>
      <c r="H104" s="29">
        <f>IF($J104="000",_xlfn.XLOOKUP($D104,'WP5 Elec Plant 13-mo'!$A$10:$A$66,'WP5 Elec Plant 13-mo'!$AN$10:$AN$66,""),_xlfn.XLOOKUP($D104,'WP5 Elec Plant 13-mo'!$A$10:$A$66,'WP5 Elec Plant 13-mo'!$AO$10:$AO$66,""))</f>
        <v>-194688815.26999995</v>
      </c>
      <c r="I104" s="29" t="s">
        <v>171</v>
      </c>
      <c r="J104" s="22" t="str">
        <f t="shared" si="2"/>
        <v>080</v>
      </c>
      <c r="K104" s="28"/>
      <c r="L104" s="28"/>
      <c r="M104" s="37"/>
      <c r="N104" s="37"/>
    </row>
    <row r="105" spans="1:14">
      <c r="A105" s="26">
        <f t="shared" si="3"/>
        <v>96</v>
      </c>
      <c r="B105" s="27" t="s">
        <v>295</v>
      </c>
      <c r="C105" s="27" t="s">
        <v>213</v>
      </c>
      <c r="D105" s="27" t="s">
        <v>120</v>
      </c>
      <c r="E105" s="27" t="s">
        <v>163</v>
      </c>
      <c r="F105" s="27" t="s">
        <v>217</v>
      </c>
      <c r="G105" s="28">
        <f>IF($J105="000",_xlfn.XLOOKUP($D105,'WP5 Elec Plant 13-mo'!$A$10:$A$66,'WP5 Elec Plant 13-mo'!$D$10:$D$66,""),_xlfn.XLOOKUP($D105,'WP5 Elec Plant 13-mo'!$A$10:$A$66,'WP5 Elec Plant 13-mo'!$E$10:$E$66,""))</f>
        <v>-171735735.14999992</v>
      </c>
      <c r="H105" s="29">
        <f>IF($J105="000",_xlfn.XLOOKUP($D105,'WP5 Elec Plant 13-mo'!$A$10:$A$66,'WP5 Elec Plant 13-mo'!$AN$10:$AN$66,""),_xlfn.XLOOKUP($D105,'WP5 Elec Plant 13-mo'!$A$10:$A$66,'WP5 Elec Plant 13-mo'!$AO$10:$AO$66,""))</f>
        <v>-181087984.81999993</v>
      </c>
      <c r="I105" s="29" t="s">
        <v>171</v>
      </c>
      <c r="J105" s="22" t="str">
        <f t="shared" si="2"/>
        <v>080</v>
      </c>
      <c r="K105" s="28"/>
      <c r="L105" s="28"/>
      <c r="M105" s="37"/>
      <c r="N105" s="37"/>
    </row>
    <row r="106" spans="1:14">
      <c r="A106" s="26">
        <f t="shared" si="3"/>
        <v>97</v>
      </c>
      <c r="B106" s="27" t="s">
        <v>296</v>
      </c>
      <c r="C106" s="27" t="s">
        <v>96</v>
      </c>
      <c r="D106" s="27" t="s">
        <v>121</v>
      </c>
      <c r="E106" s="27" t="s">
        <v>163</v>
      </c>
      <c r="F106" s="27" t="s">
        <v>217</v>
      </c>
      <c r="G106" s="28">
        <f>IF($J106="000",_xlfn.XLOOKUP($D106,'WP5 Elec Plant 13-mo'!$A$10:$A$66,'WP5 Elec Plant 13-mo'!$D$10:$D$66,""),_xlfn.XLOOKUP($D106,'WP5 Elec Plant 13-mo'!$A$10:$A$66,'WP5 Elec Plant 13-mo'!$E$10:$E$66,""))</f>
        <v>-67462512.239999995</v>
      </c>
      <c r="H106" s="29">
        <f>IF($J106="000",_xlfn.XLOOKUP($D106,'WP5 Elec Plant 13-mo'!$A$10:$A$66,'WP5 Elec Plant 13-mo'!$AN$10:$AN$66,""),_xlfn.XLOOKUP($D106,'WP5 Elec Plant 13-mo'!$A$10:$A$66,'WP5 Elec Plant 13-mo'!$AO$10:$AO$66,""))</f>
        <v>-70582909.399999991</v>
      </c>
      <c r="I106" s="29" t="s">
        <v>171</v>
      </c>
      <c r="J106" s="22" t="str">
        <f t="shared" si="2"/>
        <v>080</v>
      </c>
      <c r="K106" s="28"/>
      <c r="L106" s="28"/>
      <c r="M106" s="37"/>
      <c r="N106" s="37"/>
    </row>
    <row r="107" spans="1:14">
      <c r="A107" s="26">
        <f t="shared" si="3"/>
        <v>98</v>
      </c>
      <c r="B107" s="27" t="s">
        <v>297</v>
      </c>
      <c r="C107" s="27" t="s">
        <v>228</v>
      </c>
      <c r="D107" s="27" t="s">
        <v>122</v>
      </c>
      <c r="E107" s="27" t="s">
        <v>163</v>
      </c>
      <c r="F107" s="27" t="s">
        <v>217</v>
      </c>
      <c r="G107" s="28">
        <f>IF($J107="000",_xlfn.XLOOKUP($D107,'WP5 Elec Plant 13-mo'!$A$10:$A$66,'WP5 Elec Plant 13-mo'!$D$10:$D$66,""),_xlfn.XLOOKUP($D107,'WP5 Elec Plant 13-mo'!$A$10:$A$66,'WP5 Elec Plant 13-mo'!$E$10:$E$66,""))</f>
        <v>-70092337.689999968</v>
      </c>
      <c r="H107" s="29">
        <f>IF($J107="000",_xlfn.XLOOKUP($D107,'WP5 Elec Plant 13-mo'!$A$10:$A$66,'WP5 Elec Plant 13-mo'!$AN$10:$AN$66,""),_xlfn.XLOOKUP($D107,'WP5 Elec Plant 13-mo'!$A$10:$A$66,'WP5 Elec Plant 13-mo'!$AO$10:$AO$66,""))</f>
        <v>-71968573.029999956</v>
      </c>
      <c r="I107" s="29" t="s">
        <v>171</v>
      </c>
      <c r="J107" s="22" t="str">
        <f t="shared" si="2"/>
        <v>080</v>
      </c>
      <c r="K107" s="28"/>
      <c r="L107" s="28"/>
      <c r="M107" s="37"/>
      <c r="N107" s="37"/>
    </row>
    <row r="108" spans="1:14">
      <c r="A108" s="26">
        <f t="shared" si="3"/>
        <v>99</v>
      </c>
      <c r="B108" s="27" t="s">
        <v>298</v>
      </c>
      <c r="C108" s="27" t="s">
        <v>99</v>
      </c>
      <c r="D108" s="27" t="s">
        <v>123</v>
      </c>
      <c r="E108" s="27" t="s">
        <v>163</v>
      </c>
      <c r="F108" s="27" t="s">
        <v>217</v>
      </c>
      <c r="G108" s="28">
        <f>IF($J108="000",_xlfn.XLOOKUP($D108,'WP5 Elec Plant 13-mo'!$A$10:$A$66,'WP5 Elec Plant 13-mo'!$D$10:$D$66,""),_xlfn.XLOOKUP($D108,'WP5 Elec Plant 13-mo'!$A$10:$A$66,'WP5 Elec Plant 13-mo'!$E$10:$E$66,""))</f>
        <v>-40341431.059999987</v>
      </c>
      <c r="H108" s="29">
        <f>IF($J108="000",_xlfn.XLOOKUP($D108,'WP5 Elec Plant 13-mo'!$A$10:$A$66,'WP5 Elec Plant 13-mo'!$AN$10:$AN$66,""),_xlfn.XLOOKUP($D108,'WP5 Elec Plant 13-mo'!$A$10:$A$66,'WP5 Elec Plant 13-mo'!$AO$10:$AO$66,""))</f>
        <v>-44123519.769999988</v>
      </c>
      <c r="I108" s="29" t="s">
        <v>171</v>
      </c>
      <c r="J108" s="22" t="str">
        <f t="shared" si="2"/>
        <v>080</v>
      </c>
      <c r="K108" s="28"/>
      <c r="L108" s="28"/>
      <c r="M108" s="37"/>
      <c r="N108" s="37"/>
    </row>
    <row r="109" spans="1:14">
      <c r="A109" s="26">
        <f t="shared" si="3"/>
        <v>100</v>
      </c>
      <c r="B109" s="27" t="s">
        <v>299</v>
      </c>
      <c r="C109" s="27" t="s">
        <v>231</v>
      </c>
      <c r="D109" s="27" t="s">
        <v>124</v>
      </c>
      <c r="E109" s="27" t="s">
        <v>163</v>
      </c>
      <c r="F109" s="27" t="s">
        <v>217</v>
      </c>
      <c r="G109" s="28">
        <f>IF($J109="000",_xlfn.XLOOKUP($D109,'WP5 Elec Plant 13-mo'!$A$10:$A$66,'WP5 Elec Plant 13-mo'!$D$10:$D$66,""),_xlfn.XLOOKUP($D109,'WP5 Elec Plant 13-mo'!$A$10:$A$66,'WP5 Elec Plant 13-mo'!$E$10:$E$66,""))</f>
        <v>-489091.35999999993</v>
      </c>
      <c r="H109" s="29">
        <f>IF($J109="000",_xlfn.XLOOKUP($D109,'WP5 Elec Plant 13-mo'!$A$10:$A$66,'WP5 Elec Plant 13-mo'!$AN$10:$AN$66,""),_xlfn.XLOOKUP($D109,'WP5 Elec Plant 13-mo'!$A$10:$A$66,'WP5 Elec Plant 13-mo'!$AO$10:$AO$66,""))</f>
        <v>-489091.35999999993</v>
      </c>
      <c r="I109" s="29" t="s">
        <v>171</v>
      </c>
      <c r="J109" s="22" t="str">
        <f t="shared" si="2"/>
        <v>080</v>
      </c>
      <c r="K109" s="28"/>
      <c r="L109" s="28"/>
      <c r="M109" s="37"/>
      <c r="N109" s="37"/>
    </row>
    <row r="110" spans="1:14">
      <c r="A110" s="26">
        <f t="shared" si="3"/>
        <v>101</v>
      </c>
      <c r="B110" s="27" t="s">
        <v>300</v>
      </c>
      <c r="C110" s="27" t="s">
        <v>233</v>
      </c>
      <c r="D110" s="27" t="s">
        <v>125</v>
      </c>
      <c r="E110" s="27" t="s">
        <v>163</v>
      </c>
      <c r="F110" s="27" t="s">
        <v>217</v>
      </c>
      <c r="G110" s="28">
        <f>IF($J110="000",_xlfn.XLOOKUP($D110,'WP5 Elec Plant 13-mo'!$A$10:$A$66,'WP5 Elec Plant 13-mo'!$D$10:$D$66,""),_xlfn.XLOOKUP($D110,'WP5 Elec Plant 13-mo'!$A$10:$A$66,'WP5 Elec Plant 13-mo'!$E$10:$E$66,""))</f>
        <v>-5788872.1100000003</v>
      </c>
      <c r="H110" s="29">
        <f>IF($J110="000",_xlfn.XLOOKUP($D110,'WP5 Elec Plant 13-mo'!$A$10:$A$66,'WP5 Elec Plant 13-mo'!$AN$10:$AN$66,""),_xlfn.XLOOKUP($D110,'WP5 Elec Plant 13-mo'!$A$10:$A$66,'WP5 Elec Plant 13-mo'!$AO$10:$AO$66,""))</f>
        <v>-6186142.6800000006</v>
      </c>
      <c r="I110" s="29" t="s">
        <v>171</v>
      </c>
      <c r="J110" s="22" t="str">
        <f t="shared" si="2"/>
        <v>080</v>
      </c>
      <c r="K110" s="28"/>
      <c r="L110" s="28"/>
      <c r="M110" s="37"/>
      <c r="N110" s="37"/>
    </row>
    <row r="111" spans="1:14">
      <c r="A111" s="26">
        <f t="shared" si="3"/>
        <v>102</v>
      </c>
      <c r="B111" s="27" t="s">
        <v>301</v>
      </c>
      <c r="C111" s="27" t="s">
        <v>235</v>
      </c>
      <c r="D111" s="27" t="s">
        <v>126</v>
      </c>
      <c r="E111" s="27" t="s">
        <v>163</v>
      </c>
      <c r="F111" s="27" t="s">
        <v>105</v>
      </c>
      <c r="G111" s="28">
        <f>IF($J111="000",_xlfn.XLOOKUP($D111,'WP5 Elec Plant 13-mo'!$A$10:$A$66,'WP5 Elec Plant 13-mo'!$D$10:$D$66,""),_xlfn.XLOOKUP($D111,'WP5 Elec Plant 13-mo'!$A$10:$A$66,'WP5 Elec Plant 13-mo'!$E$10:$E$66,""))</f>
        <v>-7395825.8199999994</v>
      </c>
      <c r="H111" s="29">
        <f>IF($J111="000",_xlfn.XLOOKUP($D111,'WP5 Elec Plant 13-mo'!$A$10:$A$66,'WP5 Elec Plant 13-mo'!$AN$10:$AN$66,""),_xlfn.XLOOKUP($D111,'WP5 Elec Plant 13-mo'!$A$10:$A$66,'WP5 Elec Plant 13-mo'!$AO$10:$AO$66,""))</f>
        <v>-9132373.6599999983</v>
      </c>
      <c r="I111" s="29" t="s">
        <v>235</v>
      </c>
      <c r="J111" s="22" t="str">
        <f t="shared" si="2"/>
        <v>080</v>
      </c>
      <c r="K111" s="28"/>
      <c r="L111" s="28"/>
      <c r="M111" s="37"/>
      <c r="N111" s="37"/>
    </row>
    <row r="112" spans="1:14">
      <c r="A112" s="26">
        <f t="shared" si="3"/>
        <v>103</v>
      </c>
      <c r="B112" s="27" t="s">
        <v>302</v>
      </c>
      <c r="C112" s="27" t="s">
        <v>84</v>
      </c>
      <c r="D112" s="27" t="s">
        <v>127</v>
      </c>
      <c r="E112" s="27" t="s">
        <v>163</v>
      </c>
      <c r="F112" s="27" t="s">
        <v>105</v>
      </c>
      <c r="G112" s="28">
        <f>IF($J112="000",_xlfn.XLOOKUP($D112,'WP5 Elec Plant 13-mo'!$A$10:$A$66,'WP5 Elec Plant 13-mo'!$D$10:$D$66,""),_xlfn.XLOOKUP($D112,'WP5 Elec Plant 13-mo'!$A$10:$A$66,'WP5 Elec Plant 13-mo'!$E$10:$E$66,""))</f>
        <v>0</v>
      </c>
      <c r="H112" s="29">
        <f>IF($J112="000",_xlfn.XLOOKUP($D112,'WP5 Elec Plant 13-mo'!$A$10:$A$66,'WP5 Elec Plant 13-mo'!$AN$10:$AN$66,""),_xlfn.XLOOKUP($D112,'WP5 Elec Plant 13-mo'!$A$10:$A$66,'WP5 Elec Plant 13-mo'!$AO$10:$AO$66,""))</f>
        <v>0</v>
      </c>
      <c r="I112" s="29" t="s">
        <v>168</v>
      </c>
      <c r="J112" s="22" t="str">
        <f t="shared" si="2"/>
        <v>080</v>
      </c>
      <c r="K112" s="28"/>
      <c r="L112" s="28"/>
      <c r="M112" s="37"/>
      <c r="N112" s="37"/>
    </row>
    <row r="113" spans="1:14">
      <c r="A113" s="26">
        <f t="shared" si="3"/>
        <v>104</v>
      </c>
      <c r="B113" s="27" t="s">
        <v>303</v>
      </c>
      <c r="C113" s="27" t="s">
        <v>238</v>
      </c>
      <c r="D113" s="27" t="s">
        <v>128</v>
      </c>
      <c r="E113" s="27" t="s">
        <v>163</v>
      </c>
      <c r="F113" s="27" t="s">
        <v>105</v>
      </c>
      <c r="G113" s="28">
        <f>IF($J113="000",_xlfn.XLOOKUP($D113,'WP5 Elec Plant 13-mo'!$A$10:$A$66,'WP5 Elec Plant 13-mo'!$D$10:$D$66,""),_xlfn.XLOOKUP($D113,'WP5 Elec Plant 13-mo'!$A$10:$A$66,'WP5 Elec Plant 13-mo'!$E$10:$E$66,""))</f>
        <v>-12589476.449999999</v>
      </c>
      <c r="H113" s="29">
        <f>IF($J113="000",_xlfn.XLOOKUP($D113,'WP5 Elec Plant 13-mo'!$A$10:$A$66,'WP5 Elec Plant 13-mo'!$AN$10:$AN$66,""),_xlfn.XLOOKUP($D113,'WP5 Elec Plant 13-mo'!$A$10:$A$66,'WP5 Elec Plant 13-mo'!$AO$10:$AO$66,""))</f>
        <v>-13757820.799999999</v>
      </c>
      <c r="I113" s="29" t="s">
        <v>171</v>
      </c>
      <c r="J113" s="22" t="str">
        <f t="shared" si="2"/>
        <v>080</v>
      </c>
      <c r="K113" s="28"/>
      <c r="L113" s="28"/>
      <c r="M113" s="37"/>
      <c r="N113" s="37"/>
    </row>
    <row r="114" spans="1:14">
      <c r="A114" s="26">
        <f t="shared" si="3"/>
        <v>105</v>
      </c>
      <c r="B114" s="27" t="s">
        <v>304</v>
      </c>
      <c r="C114" s="27" t="s">
        <v>240</v>
      </c>
      <c r="D114" s="27" t="s">
        <v>129</v>
      </c>
      <c r="E114" s="27" t="s">
        <v>163</v>
      </c>
      <c r="F114" s="27" t="s">
        <v>105</v>
      </c>
      <c r="G114" s="28">
        <f>IF($J114="000",_xlfn.XLOOKUP($D114,'WP5 Elec Plant 13-mo'!$A$10:$A$66,'WP5 Elec Plant 13-mo'!$D$10:$D$66,""),_xlfn.XLOOKUP($D114,'WP5 Elec Plant 13-mo'!$A$10:$A$66,'WP5 Elec Plant 13-mo'!$E$10:$E$66,""))</f>
        <v>-4348551.1200000038</v>
      </c>
      <c r="H114" s="29">
        <f>IF($J114="000",_xlfn.XLOOKUP($D114,'WP5 Elec Plant 13-mo'!$A$10:$A$66,'WP5 Elec Plant 13-mo'!$AN$10:$AN$66,""),_xlfn.XLOOKUP($D114,'WP5 Elec Plant 13-mo'!$A$10:$A$66,'WP5 Elec Plant 13-mo'!$AO$10:$AO$66,""))</f>
        <v>-4350148.3500000043</v>
      </c>
      <c r="I114" s="29" t="s">
        <v>171</v>
      </c>
      <c r="J114" s="22" t="str">
        <f t="shared" si="2"/>
        <v>080</v>
      </c>
      <c r="K114" s="28"/>
      <c r="L114" s="28"/>
      <c r="M114" s="37"/>
      <c r="N114" s="37"/>
    </row>
    <row r="115" spans="1:14">
      <c r="A115" s="26">
        <f t="shared" si="3"/>
        <v>106</v>
      </c>
      <c r="B115" s="27" t="s">
        <v>305</v>
      </c>
      <c r="C115" s="27" t="s">
        <v>242</v>
      </c>
      <c r="D115" s="27" t="s">
        <v>130</v>
      </c>
      <c r="E115" s="27" t="s">
        <v>163</v>
      </c>
      <c r="F115" s="27" t="s">
        <v>105</v>
      </c>
      <c r="G115" s="28">
        <f>IF($J115="000",_xlfn.XLOOKUP($D115,'WP5 Elec Plant 13-mo'!$A$10:$A$66,'WP5 Elec Plant 13-mo'!$D$10:$D$66,""),_xlfn.XLOOKUP($D115,'WP5 Elec Plant 13-mo'!$A$10:$A$66,'WP5 Elec Plant 13-mo'!$E$10:$E$66,""))</f>
        <v>-30656665.539999995</v>
      </c>
      <c r="H115" s="29">
        <f>IF($J115="000",_xlfn.XLOOKUP($D115,'WP5 Elec Plant 13-mo'!$A$10:$A$66,'WP5 Elec Plant 13-mo'!$AN$10:$AN$66,""),_xlfn.XLOOKUP($D115,'WP5 Elec Plant 13-mo'!$A$10:$A$66,'WP5 Elec Plant 13-mo'!$AO$10:$AO$66,""))</f>
        <v>-31480951.009999998</v>
      </c>
      <c r="I115" s="29" t="s">
        <v>171</v>
      </c>
      <c r="J115" s="22" t="str">
        <f t="shared" si="2"/>
        <v>080</v>
      </c>
      <c r="K115" s="28"/>
      <c r="L115" s="28"/>
      <c r="M115" s="37"/>
      <c r="N115" s="37"/>
    </row>
    <row r="116" spans="1:14">
      <c r="A116" s="26">
        <f t="shared" si="3"/>
        <v>107</v>
      </c>
      <c r="B116" s="27" t="s">
        <v>306</v>
      </c>
      <c r="C116" s="27" t="s">
        <v>244</v>
      </c>
      <c r="D116" s="27" t="s">
        <v>131</v>
      </c>
      <c r="E116" s="27" t="s">
        <v>163</v>
      </c>
      <c r="F116" s="27" t="s">
        <v>105</v>
      </c>
      <c r="G116" s="28">
        <f>IF($J116="000",_xlfn.XLOOKUP($D116,'WP5 Elec Plant 13-mo'!$A$10:$A$66,'WP5 Elec Plant 13-mo'!$D$10:$D$66,""),_xlfn.XLOOKUP($D116,'WP5 Elec Plant 13-mo'!$A$10:$A$66,'WP5 Elec Plant 13-mo'!$E$10:$E$66,""))</f>
        <v>-324648.67</v>
      </c>
      <c r="H116" s="29">
        <f>IF($J116="000",_xlfn.XLOOKUP($D116,'WP5 Elec Plant 13-mo'!$A$10:$A$66,'WP5 Elec Plant 13-mo'!$AN$10:$AN$66,""),_xlfn.XLOOKUP($D116,'WP5 Elec Plant 13-mo'!$A$10:$A$66,'WP5 Elec Plant 13-mo'!$AO$10:$AO$66,""))</f>
        <v>-324648.67</v>
      </c>
      <c r="I116" s="29" t="s">
        <v>171</v>
      </c>
      <c r="J116" s="22" t="str">
        <f t="shared" si="2"/>
        <v>080</v>
      </c>
      <c r="K116" s="28"/>
      <c r="L116" s="28"/>
      <c r="M116" s="37"/>
      <c r="N116" s="37"/>
    </row>
    <row r="117" spans="1:14">
      <c r="A117" s="26">
        <f t="shared" si="3"/>
        <v>108</v>
      </c>
      <c r="B117" s="27" t="s">
        <v>307</v>
      </c>
      <c r="C117" s="27" t="s">
        <v>246</v>
      </c>
      <c r="D117" s="27" t="s">
        <v>132</v>
      </c>
      <c r="E117" s="27" t="s">
        <v>163</v>
      </c>
      <c r="F117" s="27" t="s">
        <v>105</v>
      </c>
      <c r="G117" s="28">
        <f>IF($J117="000",_xlfn.XLOOKUP($D117,'WP5 Elec Plant 13-mo'!$A$10:$A$66,'WP5 Elec Plant 13-mo'!$D$10:$D$66,""),_xlfn.XLOOKUP($D117,'WP5 Elec Plant 13-mo'!$A$10:$A$66,'WP5 Elec Plant 13-mo'!$E$10:$E$66,""))</f>
        <v>-9683171.7599999979</v>
      </c>
      <c r="H117" s="29">
        <f>IF($J117="000",_xlfn.XLOOKUP($D117,'WP5 Elec Plant 13-mo'!$A$10:$A$66,'WP5 Elec Plant 13-mo'!$AN$10:$AN$66,""),_xlfn.XLOOKUP($D117,'WP5 Elec Plant 13-mo'!$A$10:$A$66,'WP5 Elec Plant 13-mo'!$AO$10:$AO$66,""))</f>
        <v>-9788405.8099999987</v>
      </c>
      <c r="I117" s="29" t="s">
        <v>171</v>
      </c>
      <c r="J117" s="22" t="str">
        <f t="shared" si="2"/>
        <v>080</v>
      </c>
      <c r="K117" s="28"/>
      <c r="L117" s="28"/>
      <c r="M117" s="37"/>
      <c r="N117" s="37"/>
    </row>
    <row r="118" spans="1:14">
      <c r="A118" s="26">
        <f t="shared" si="3"/>
        <v>109</v>
      </c>
      <c r="B118" s="27" t="s">
        <v>308</v>
      </c>
      <c r="C118" s="27" t="s">
        <v>248</v>
      </c>
      <c r="D118" s="27" t="s">
        <v>133</v>
      </c>
      <c r="E118" s="27" t="s">
        <v>163</v>
      </c>
      <c r="F118" s="27" t="s">
        <v>105</v>
      </c>
      <c r="G118" s="28">
        <f>IF($J118="000",_xlfn.XLOOKUP($D118,'WP5 Elec Plant 13-mo'!$A$10:$A$66,'WP5 Elec Plant 13-mo'!$D$10:$D$66,""),_xlfn.XLOOKUP($D118,'WP5 Elec Plant 13-mo'!$A$10:$A$66,'WP5 Elec Plant 13-mo'!$E$10:$E$66,""))</f>
        <v>-1008838.94</v>
      </c>
      <c r="H118" s="29">
        <f>IF($J118="000",_xlfn.XLOOKUP($D118,'WP5 Elec Plant 13-mo'!$A$10:$A$66,'WP5 Elec Plant 13-mo'!$AN$10:$AN$66,""),_xlfn.XLOOKUP($D118,'WP5 Elec Plant 13-mo'!$A$10:$A$66,'WP5 Elec Plant 13-mo'!$AO$10:$AO$66,""))</f>
        <v>-1024729.21</v>
      </c>
      <c r="I118" s="29" t="s">
        <v>171</v>
      </c>
      <c r="J118" s="22" t="str">
        <f t="shared" si="2"/>
        <v>080</v>
      </c>
      <c r="K118" s="28"/>
      <c r="L118" s="28"/>
      <c r="M118" s="37"/>
      <c r="N118" s="37"/>
    </row>
    <row r="119" spans="1:14">
      <c r="A119" s="26">
        <f t="shared" si="3"/>
        <v>110</v>
      </c>
      <c r="B119" s="27" t="s">
        <v>309</v>
      </c>
      <c r="C119" s="27" t="s">
        <v>250</v>
      </c>
      <c r="D119" s="27" t="s">
        <v>134</v>
      </c>
      <c r="E119" s="27" t="s">
        <v>163</v>
      </c>
      <c r="F119" s="27" t="s">
        <v>105</v>
      </c>
      <c r="G119" s="28">
        <f>IF($J119="000",_xlfn.XLOOKUP($D119,'WP5 Elec Plant 13-mo'!$A$10:$A$66,'WP5 Elec Plant 13-mo'!$D$10:$D$66,""),_xlfn.XLOOKUP($D119,'WP5 Elec Plant 13-mo'!$A$10:$A$66,'WP5 Elec Plant 13-mo'!$E$10:$E$66,""))</f>
        <v>-11490105.4</v>
      </c>
      <c r="H119" s="29">
        <f>IF($J119="000",_xlfn.XLOOKUP($D119,'WP5 Elec Plant 13-mo'!$A$10:$A$66,'WP5 Elec Plant 13-mo'!$AN$10:$AN$66,""),_xlfn.XLOOKUP($D119,'WP5 Elec Plant 13-mo'!$A$10:$A$66,'WP5 Elec Plant 13-mo'!$AO$10:$AO$66,""))</f>
        <v>-11456100.270000001</v>
      </c>
      <c r="I119" s="29" t="s">
        <v>171</v>
      </c>
      <c r="J119" s="22" t="str">
        <f t="shared" si="2"/>
        <v>080</v>
      </c>
      <c r="K119" s="28"/>
      <c r="L119" s="28"/>
      <c r="M119" s="37"/>
      <c r="N119" s="37"/>
    </row>
    <row r="120" spans="1:14">
      <c r="A120" s="26">
        <f t="shared" si="3"/>
        <v>111</v>
      </c>
      <c r="B120" s="27" t="s">
        <v>310</v>
      </c>
      <c r="C120" s="27" t="s">
        <v>252</v>
      </c>
      <c r="D120" s="27" t="s">
        <v>135</v>
      </c>
      <c r="E120" s="27" t="s">
        <v>163</v>
      </c>
      <c r="F120" s="27" t="s">
        <v>105</v>
      </c>
      <c r="G120" s="28">
        <f>IF($J120="000",_xlfn.XLOOKUP($D120,'WP5 Elec Plant 13-mo'!$A$10:$A$66,'WP5 Elec Plant 13-mo'!$D$10:$D$66,""),_xlfn.XLOOKUP($D120,'WP5 Elec Plant 13-mo'!$A$10:$A$66,'WP5 Elec Plant 13-mo'!$E$10:$E$66,""))</f>
        <v>-8040007.259999997</v>
      </c>
      <c r="H120" s="29">
        <f>IF($J120="000",_xlfn.XLOOKUP($D120,'WP5 Elec Plant 13-mo'!$A$10:$A$66,'WP5 Elec Plant 13-mo'!$AN$10:$AN$66,""),_xlfn.XLOOKUP($D120,'WP5 Elec Plant 13-mo'!$A$10:$A$66,'WP5 Elec Plant 13-mo'!$AO$10:$AO$66,""))</f>
        <v>-11828093.030000005</v>
      </c>
      <c r="I120" s="29" t="s">
        <v>171</v>
      </c>
      <c r="J120" s="22" t="str">
        <f t="shared" si="2"/>
        <v>080</v>
      </c>
      <c r="K120" s="28"/>
      <c r="L120" s="28"/>
      <c r="M120" s="37"/>
      <c r="N120" s="37"/>
    </row>
    <row r="121" spans="1:14">
      <c r="A121" s="26">
        <f t="shared" si="3"/>
        <v>112</v>
      </c>
      <c r="B121" s="27" t="s">
        <v>311</v>
      </c>
      <c r="C121" s="27" t="s">
        <v>254</v>
      </c>
      <c r="D121" s="27" t="s">
        <v>136</v>
      </c>
      <c r="E121" s="27" t="s">
        <v>163</v>
      </c>
      <c r="F121" s="27" t="s">
        <v>105</v>
      </c>
      <c r="G121" s="28">
        <f>IF($J121="000",_xlfn.XLOOKUP($D121,'WP5 Elec Plant 13-mo'!$A$10:$A$66,'WP5 Elec Plant 13-mo'!$D$10:$D$66,""),_xlfn.XLOOKUP($D121,'WP5 Elec Plant 13-mo'!$A$10:$A$66,'WP5 Elec Plant 13-mo'!$E$10:$E$66,""))</f>
        <v>-527769.02</v>
      </c>
      <c r="H121" s="29">
        <f>IF($J121="000",_xlfn.XLOOKUP($D121,'WP5 Elec Plant 13-mo'!$A$10:$A$66,'WP5 Elec Plant 13-mo'!$AN$10:$AN$66,""),_xlfn.XLOOKUP($D121,'WP5 Elec Plant 13-mo'!$A$10:$A$66,'WP5 Elec Plant 13-mo'!$AO$10:$AO$66,""))</f>
        <v>-552642.43000000005</v>
      </c>
      <c r="I121" s="29" t="s">
        <v>171</v>
      </c>
      <c r="J121" s="22" t="str">
        <f t="shared" si="2"/>
        <v>080</v>
      </c>
      <c r="K121" s="28"/>
      <c r="L121" s="28"/>
      <c r="M121" s="37"/>
      <c r="N121" s="37"/>
    </row>
    <row r="122" spans="1:14">
      <c r="A122" s="26">
        <f t="shared" si="3"/>
        <v>113</v>
      </c>
      <c r="B122" s="27" t="s">
        <v>312</v>
      </c>
      <c r="C122" s="27" t="s">
        <v>256</v>
      </c>
      <c r="D122" s="27" t="s">
        <v>137</v>
      </c>
      <c r="E122" s="27" t="s">
        <v>163</v>
      </c>
      <c r="F122" s="27" t="s">
        <v>105</v>
      </c>
      <c r="G122" s="28">
        <f>IF($J122="000",_xlfn.XLOOKUP($D122,'WP5 Elec Plant 13-mo'!$A$10:$A$66,'WP5 Elec Plant 13-mo'!$D$10:$D$66,""),_xlfn.XLOOKUP($D122,'WP5 Elec Plant 13-mo'!$A$10:$A$66,'WP5 Elec Plant 13-mo'!$E$10:$E$66,""))</f>
        <v>-18398999.690000005</v>
      </c>
      <c r="H122" s="29">
        <f>IF($J122="000",_xlfn.XLOOKUP($D122,'WP5 Elec Plant 13-mo'!$A$10:$A$66,'WP5 Elec Plant 13-mo'!$AN$10:$AN$66,""),_xlfn.XLOOKUP($D122,'WP5 Elec Plant 13-mo'!$A$10:$A$66,'WP5 Elec Plant 13-mo'!$AO$10:$AO$66,""))</f>
        <v>-18398999.690000005</v>
      </c>
      <c r="I122" s="29" t="s">
        <v>171</v>
      </c>
      <c r="J122" s="22" t="str">
        <f t="shared" si="2"/>
        <v>080</v>
      </c>
      <c r="K122" s="28"/>
      <c r="L122" s="28"/>
      <c r="M122" s="37"/>
      <c r="N122" s="37"/>
    </row>
    <row r="123" spans="1:14">
      <c r="A123" s="26">
        <f t="shared" si="3"/>
        <v>114</v>
      </c>
      <c r="B123" s="27" t="s">
        <v>316</v>
      </c>
      <c r="C123" s="27" t="s">
        <v>314</v>
      </c>
      <c r="D123" s="27" t="s">
        <v>315</v>
      </c>
      <c r="E123" s="27" t="s">
        <v>163</v>
      </c>
      <c r="F123" s="27" t="s">
        <v>217</v>
      </c>
      <c r="G123" s="28">
        <f>IF($J123="000",_xlfn.XLOOKUP($D123,'WP5 Elec Plant 13-mo'!$A$10:$A$66,'WP5 Elec Plant 13-mo'!$D$10:$D$66,""),_xlfn.XLOOKUP($D123,'WP5 Elec Plant 13-mo'!$A$10:$A$66,'WP5 Elec Plant 13-mo'!$E$10:$E$66,""))</f>
        <v>-38452520.929999992</v>
      </c>
      <c r="H123" s="28">
        <f>IF($J123="000",_xlfn.XLOOKUP($D123,'WP5 Elec Plant 13-mo'!$A$10:$A$66,'WP5 Elec Plant 13-mo'!$AN$10:$AN$66,""),_xlfn.XLOOKUP($D123,'WP5 Elec Plant 13-mo'!$A$10:$A$66,'WP5 Elec Plant 13-mo'!$AO$10:$AO$66,""))</f>
        <v>-39964669.309999995</v>
      </c>
      <c r="I123" s="27"/>
      <c r="J123" s="27" t="str">
        <f t="shared" si="2"/>
        <v>080</v>
      </c>
      <c r="K123" s="28"/>
      <c r="L123" s="28"/>
      <c r="M123" s="37"/>
      <c r="N123" s="37"/>
    </row>
    <row r="125" spans="1:14">
      <c r="G125" s="37">
        <f>SUM(G10:G124)</f>
        <v>1173098476.8199997</v>
      </c>
      <c r="H125" s="37">
        <f>SUM(H10:H124)</f>
        <v>1394699343.5399997</v>
      </c>
    </row>
  </sheetData>
  <autoFilter ref="C9:I122" xr:uid="{00000000-0009-0000-0000-000009000000}">
    <sortState xmlns:xlrd2="http://schemas.microsoft.com/office/spreadsheetml/2017/richdata2" ref="C2:I561">
      <sortCondition ref="I1"/>
    </sortState>
  </autoFilter>
  <phoneticPr fontId="17" type="noConversion"/>
  <pageMargins left="0.7" right="0.7" top="0.75" bottom="0.75" header="0.3" footer="0.3"/>
  <pageSetup scale="86" orientation="landscape" r:id="rId1"/>
  <rowBreaks count="1" manualBreakCount="1">
    <brk id="6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CE283-2CEC-488E-8292-29ABBF26C847}">
  <sheetPr>
    <tabColor rgb="FF0070C0"/>
  </sheetPr>
  <dimension ref="A1:AP69"/>
  <sheetViews>
    <sheetView zoomScale="60" zoomScaleNormal="60" workbookViewId="0">
      <pane xSplit="1" topLeftCell="B1" activePane="topRight" state="frozen"/>
      <selection pane="topRight"/>
    </sheetView>
  </sheetViews>
  <sheetFormatPr defaultRowHeight="15"/>
  <cols>
    <col min="1" max="1" width="50.140625" customWidth="1"/>
    <col min="2" max="3" width="21.140625" customWidth="1"/>
    <col min="4" max="4" width="29.140625" style="6" customWidth="1"/>
    <col min="5" max="5" width="23.5703125" customWidth="1"/>
    <col min="6" max="16" width="22.28515625" customWidth="1"/>
    <col min="17" max="17" width="23.28515625" customWidth="1"/>
    <col min="18" max="28" width="22.28515625" customWidth="1"/>
    <col min="29" max="29" width="31.28515625" bestFit="1" customWidth="1"/>
    <col min="30" max="31" width="22.28515625" customWidth="1"/>
    <col min="32" max="32" width="31.140625" bestFit="1" customWidth="1"/>
    <col min="33" max="33" width="22.28515625" customWidth="1"/>
    <col min="34" max="34" width="30.42578125" bestFit="1" customWidth="1"/>
    <col min="35" max="35" width="30.85546875" bestFit="1" customWidth="1"/>
    <col min="36" max="36" width="22.28515625" customWidth="1"/>
    <col min="37" max="37" width="31.140625" bestFit="1" customWidth="1"/>
    <col min="38" max="38" width="31.5703125" bestFit="1" customWidth="1"/>
    <col min="39" max="39" width="22.28515625" customWidth="1"/>
    <col min="40" max="40" width="24.28515625" bestFit="1" customWidth="1"/>
    <col min="41" max="41" width="30.140625" bestFit="1" customWidth="1"/>
    <col min="42" max="42" width="23.42578125" bestFit="1" customWidth="1"/>
  </cols>
  <sheetData>
    <row r="1" spans="1:42">
      <c r="A1" s="123" t="str">
        <f>TOC!A1</f>
        <v>Colorado Springs Utilities</v>
      </c>
      <c r="B1" s="1"/>
      <c r="C1" s="1"/>
      <c r="D1" s="6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42">
      <c r="A2" s="124" t="str">
        <f>TOC!A2</f>
        <v>2027 Transmission Formula Rate (TFR) Backup</v>
      </c>
      <c r="B2" s="1"/>
      <c r="C2" s="1"/>
      <c r="D2" s="6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42">
      <c r="A3" s="123"/>
      <c r="B3" s="1"/>
      <c r="C3" s="1"/>
      <c r="D3" s="6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42">
      <c r="A4" s="123" t="s">
        <v>495</v>
      </c>
      <c r="B4" s="1"/>
      <c r="C4" s="1"/>
      <c r="D4" s="6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42">
      <c r="A5" s="125" t="str">
        <f>UPPER(VLOOKUP(A$4,TOC!$A$7:$C$39,3,FALSE))</f>
        <v>ELECTRIC PLANT - 13 MONTH DETAIL</v>
      </c>
      <c r="B5" s="1"/>
      <c r="C5" s="1"/>
      <c r="D5" s="6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42">
      <c r="A6" s="124" t="s">
        <v>413</v>
      </c>
      <c r="B6" s="3"/>
      <c r="C6" s="3"/>
      <c r="D6" s="6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</row>
    <row r="7" spans="1:42">
      <c r="A7" s="123" t="s">
        <v>704</v>
      </c>
      <c r="B7" s="1"/>
      <c r="C7" s="1"/>
      <c r="D7" s="6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42">
      <c r="D8" s="192"/>
    </row>
    <row r="9" spans="1:42">
      <c r="A9" s="64" t="s">
        <v>152</v>
      </c>
      <c r="B9" s="64" t="s">
        <v>64</v>
      </c>
      <c r="C9" s="64" t="s">
        <v>138</v>
      </c>
      <c r="D9" s="65" t="s">
        <v>414</v>
      </c>
      <c r="E9" s="64" t="s">
        <v>415</v>
      </c>
      <c r="F9" s="64" t="s">
        <v>416</v>
      </c>
      <c r="G9" s="65" t="s">
        <v>705</v>
      </c>
      <c r="H9" s="64" t="s">
        <v>706</v>
      </c>
      <c r="I9" s="64" t="s">
        <v>707</v>
      </c>
      <c r="J9" s="65" t="s">
        <v>708</v>
      </c>
      <c r="K9" s="64" t="s">
        <v>709</v>
      </c>
      <c r="L9" s="64" t="s">
        <v>710</v>
      </c>
      <c r="M9" s="65" t="s">
        <v>711</v>
      </c>
      <c r="N9" s="64" t="s">
        <v>712</v>
      </c>
      <c r="O9" s="64" t="s">
        <v>713</v>
      </c>
      <c r="P9" s="65" t="s">
        <v>714</v>
      </c>
      <c r="Q9" s="64" t="s">
        <v>715</v>
      </c>
      <c r="R9" s="64" t="s">
        <v>716</v>
      </c>
      <c r="S9" s="65" t="s">
        <v>717</v>
      </c>
      <c r="T9" s="64" t="s">
        <v>718</v>
      </c>
      <c r="U9" s="64" t="s">
        <v>719</v>
      </c>
      <c r="V9" s="65" t="s">
        <v>720</v>
      </c>
      <c r="W9" s="64" t="s">
        <v>721</v>
      </c>
      <c r="X9" s="64" t="s">
        <v>722</v>
      </c>
      <c r="Y9" s="65" t="s">
        <v>723</v>
      </c>
      <c r="Z9" s="64" t="s">
        <v>724</v>
      </c>
      <c r="AA9" s="64" t="s">
        <v>725</v>
      </c>
      <c r="AB9" s="65" t="s">
        <v>726</v>
      </c>
      <c r="AC9" s="64" t="s">
        <v>727</v>
      </c>
      <c r="AD9" s="64" t="s">
        <v>728</v>
      </c>
      <c r="AE9" s="65" t="s">
        <v>729</v>
      </c>
      <c r="AF9" s="64" t="s">
        <v>730</v>
      </c>
      <c r="AG9" s="64" t="s">
        <v>731</v>
      </c>
      <c r="AH9" s="65" t="s">
        <v>732</v>
      </c>
      <c r="AI9" s="64" t="s">
        <v>733</v>
      </c>
      <c r="AJ9" s="64" t="s">
        <v>734</v>
      </c>
      <c r="AK9" s="65" t="s">
        <v>735</v>
      </c>
      <c r="AL9" s="64" t="s">
        <v>736</v>
      </c>
      <c r="AM9" s="64" t="s">
        <v>737</v>
      </c>
      <c r="AN9" s="64" t="s">
        <v>738</v>
      </c>
      <c r="AO9" s="64" t="s">
        <v>739</v>
      </c>
      <c r="AP9" s="64" t="s">
        <v>740</v>
      </c>
    </row>
    <row r="10" spans="1:42">
      <c r="A10" t="s">
        <v>153</v>
      </c>
      <c r="B10" t="s">
        <v>163</v>
      </c>
      <c r="C10" t="s">
        <v>73</v>
      </c>
      <c r="D10" s="6">
        <v>0</v>
      </c>
      <c r="E10" s="6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6">
        <v>0</v>
      </c>
      <c r="AO10" s="6">
        <v>0</v>
      </c>
      <c r="AP10" s="9">
        <v>0</v>
      </c>
    </row>
    <row r="11" spans="1:42">
      <c r="A11" t="s">
        <v>72</v>
      </c>
      <c r="B11" t="s">
        <v>163</v>
      </c>
      <c r="C11" t="s">
        <v>167</v>
      </c>
      <c r="D11" s="6">
        <v>11209015.300000001</v>
      </c>
      <c r="E11" s="6">
        <v>0</v>
      </c>
      <c r="F11" s="9">
        <v>11209015.300000001</v>
      </c>
      <c r="G11" s="9">
        <v>11209015.300000001</v>
      </c>
      <c r="H11" s="9">
        <v>0</v>
      </c>
      <c r="I11" s="9">
        <v>11209015.300000001</v>
      </c>
      <c r="J11" s="9">
        <v>11209015.300000001</v>
      </c>
      <c r="K11" s="9">
        <v>0</v>
      </c>
      <c r="L11" s="9">
        <v>11209015.300000001</v>
      </c>
      <c r="M11" s="9">
        <v>11209015.300000001</v>
      </c>
      <c r="N11" s="9">
        <v>0</v>
      </c>
      <c r="O11" s="9">
        <v>11209015.300000001</v>
      </c>
      <c r="P11" s="9">
        <v>11209015.300000001</v>
      </c>
      <c r="Q11" s="9">
        <v>0</v>
      </c>
      <c r="R11" s="9">
        <v>11209015.300000001</v>
      </c>
      <c r="S11" s="9">
        <v>11209015.300000001</v>
      </c>
      <c r="T11" s="9">
        <v>0</v>
      </c>
      <c r="U11" s="9">
        <v>11209015.300000001</v>
      </c>
      <c r="V11" s="9">
        <v>11209015.300000001</v>
      </c>
      <c r="W11" s="9">
        <v>0</v>
      </c>
      <c r="X11" s="9">
        <v>11209015.300000001</v>
      </c>
      <c r="Y11" s="9">
        <v>11209015.300000001</v>
      </c>
      <c r="Z11" s="9">
        <v>0</v>
      </c>
      <c r="AA11" s="9">
        <v>11209015.300000001</v>
      </c>
      <c r="AB11" s="9">
        <v>11209015.300000001</v>
      </c>
      <c r="AC11" s="9">
        <v>0</v>
      </c>
      <c r="AD11" s="9">
        <v>11209015.300000001</v>
      </c>
      <c r="AE11" s="9">
        <v>11209015.300000001</v>
      </c>
      <c r="AF11" s="9">
        <v>0</v>
      </c>
      <c r="AG11" s="9">
        <v>11209015.300000001</v>
      </c>
      <c r="AH11" s="9">
        <v>11209015.300000001</v>
      </c>
      <c r="AI11" s="9">
        <v>0</v>
      </c>
      <c r="AJ11" s="9">
        <v>11209015.300000001</v>
      </c>
      <c r="AK11" s="9">
        <v>11209015.300000001</v>
      </c>
      <c r="AL11" s="9">
        <v>0</v>
      </c>
      <c r="AM11" s="9">
        <v>11209015.300000001</v>
      </c>
      <c r="AN11" s="6">
        <v>11209015.300000001</v>
      </c>
      <c r="AO11" s="6">
        <v>0</v>
      </c>
      <c r="AP11" s="9">
        <v>11209015.300000001</v>
      </c>
    </row>
    <row r="12" spans="1:42">
      <c r="A12" t="s">
        <v>74</v>
      </c>
      <c r="B12" t="s">
        <v>163</v>
      </c>
      <c r="C12" t="s">
        <v>167</v>
      </c>
      <c r="D12" s="6">
        <v>50094817.619999997</v>
      </c>
      <c r="E12" s="6">
        <v>-31885787.020000011</v>
      </c>
      <c r="F12" s="9">
        <v>18209030.599999987</v>
      </c>
      <c r="G12" s="9">
        <v>50094817.619999997</v>
      </c>
      <c r="H12" s="9">
        <v>-31952378.750000007</v>
      </c>
      <c r="I12" s="9">
        <v>18142438.86999999</v>
      </c>
      <c r="J12" s="9">
        <v>50094817.619999997</v>
      </c>
      <c r="K12" s="9">
        <v>-32018970.510000009</v>
      </c>
      <c r="L12" s="9">
        <v>18075847.109999988</v>
      </c>
      <c r="M12" s="9">
        <v>50094817.619999997</v>
      </c>
      <c r="N12" s="9">
        <v>-32085562.280000009</v>
      </c>
      <c r="O12" s="9">
        <v>18009255.339999989</v>
      </c>
      <c r="P12" s="9">
        <v>50094817.619999997</v>
      </c>
      <c r="Q12" s="9">
        <v>-32152154.030000009</v>
      </c>
      <c r="R12" s="9">
        <v>17942663.589999989</v>
      </c>
      <c r="S12" s="9">
        <v>50094817.619999997</v>
      </c>
      <c r="T12" s="9">
        <v>-32218745.81000001</v>
      </c>
      <c r="U12" s="9">
        <v>17876071.809999987</v>
      </c>
      <c r="V12" s="9">
        <v>50094817.619999997</v>
      </c>
      <c r="W12" s="9">
        <v>-32285337.540000007</v>
      </c>
      <c r="X12" s="9">
        <v>17809480.079999991</v>
      </c>
      <c r="Y12" s="9">
        <v>50094817.619999997</v>
      </c>
      <c r="Z12" s="9">
        <v>-32351929.320000008</v>
      </c>
      <c r="AA12" s="9">
        <v>17742888.29999999</v>
      </c>
      <c r="AB12" s="9">
        <v>50094817.619999997</v>
      </c>
      <c r="AC12" s="9">
        <v>-32418521.030000009</v>
      </c>
      <c r="AD12" s="9">
        <v>17676296.589999989</v>
      </c>
      <c r="AE12" s="9">
        <v>50094817.619999997</v>
      </c>
      <c r="AF12" s="9">
        <v>-32485112.830000009</v>
      </c>
      <c r="AG12" s="9">
        <v>17609704.789999988</v>
      </c>
      <c r="AH12" s="9">
        <v>50094817.619999997</v>
      </c>
      <c r="AI12" s="9">
        <v>-32551704.54000001</v>
      </c>
      <c r="AJ12" s="9">
        <v>17543113.079999987</v>
      </c>
      <c r="AK12" s="9">
        <v>50181378.759999998</v>
      </c>
      <c r="AL12" s="9">
        <v>-32619055.680000011</v>
      </c>
      <c r="AM12" s="9">
        <v>17562323.079999987</v>
      </c>
      <c r="AN12" s="6">
        <v>49670122.839999996</v>
      </c>
      <c r="AO12" s="6">
        <v>-32191726.010000013</v>
      </c>
      <c r="AP12" s="9">
        <v>17478396.829999983</v>
      </c>
    </row>
    <row r="13" spans="1:42">
      <c r="A13" t="s">
        <v>75</v>
      </c>
      <c r="B13" t="s">
        <v>163</v>
      </c>
      <c r="C13" t="s">
        <v>167</v>
      </c>
      <c r="D13" s="6">
        <v>210497810.07000002</v>
      </c>
      <c r="E13" s="6">
        <v>-162794771.20000002</v>
      </c>
      <c r="F13" s="9">
        <v>47703038.870000005</v>
      </c>
      <c r="G13" s="9">
        <v>210497810.07000002</v>
      </c>
      <c r="H13" s="9">
        <v>-163496700.25000003</v>
      </c>
      <c r="I13" s="9">
        <v>47001109.819999993</v>
      </c>
      <c r="J13" s="9">
        <v>210497810.07000002</v>
      </c>
      <c r="K13" s="9">
        <v>-164198629.21000001</v>
      </c>
      <c r="L13" s="9">
        <v>46299180.860000014</v>
      </c>
      <c r="M13" s="9">
        <v>210497810.07000002</v>
      </c>
      <c r="N13" s="9">
        <v>-164900558.37</v>
      </c>
      <c r="O13" s="9">
        <v>45597251.700000018</v>
      </c>
      <c r="P13" s="9">
        <v>210497810.07000002</v>
      </c>
      <c r="Q13" s="9">
        <v>-165602324.06</v>
      </c>
      <c r="R13" s="9">
        <v>44895486.01000002</v>
      </c>
      <c r="S13" s="9">
        <v>210497810.07000002</v>
      </c>
      <c r="T13" s="9">
        <v>-166304089.89000002</v>
      </c>
      <c r="U13" s="9">
        <v>44193720.180000007</v>
      </c>
      <c r="V13" s="9">
        <v>210497810.07000002</v>
      </c>
      <c r="W13" s="9">
        <v>-167005592.24000001</v>
      </c>
      <c r="X13" s="9">
        <v>43492217.830000013</v>
      </c>
      <c r="Y13" s="9">
        <v>210497810.07000002</v>
      </c>
      <c r="Z13" s="9">
        <v>-167672349.92000002</v>
      </c>
      <c r="AA13" s="9">
        <v>42825460.150000006</v>
      </c>
      <c r="AB13" s="9">
        <v>210497810.07000002</v>
      </c>
      <c r="AC13" s="9">
        <v>-168339107.06999999</v>
      </c>
      <c r="AD13" s="9">
        <v>42158703.00000003</v>
      </c>
      <c r="AE13" s="9">
        <v>210653718.26000002</v>
      </c>
      <c r="AF13" s="9">
        <v>-169007392.06</v>
      </c>
      <c r="AG13" s="9">
        <v>41646326.200000018</v>
      </c>
      <c r="AH13" s="9">
        <v>210603718.26000002</v>
      </c>
      <c r="AI13" s="9">
        <v>-169641599.94</v>
      </c>
      <c r="AJ13" s="9">
        <v>40962118.320000023</v>
      </c>
      <c r="AK13" s="9">
        <v>212101838.22000003</v>
      </c>
      <c r="AL13" s="9">
        <v>-170523967.51999998</v>
      </c>
      <c r="AM13" s="9">
        <v>41577870.700000048</v>
      </c>
      <c r="AN13" s="6">
        <v>239391567.74000004</v>
      </c>
      <c r="AO13" s="6">
        <v>-171719648.07999998</v>
      </c>
      <c r="AP13" s="9">
        <v>67671919.660000056</v>
      </c>
    </row>
    <row r="14" spans="1:42">
      <c r="A14" t="s">
        <v>78</v>
      </c>
      <c r="B14" t="s">
        <v>163</v>
      </c>
      <c r="C14" t="s">
        <v>167</v>
      </c>
      <c r="D14" s="6">
        <v>754704.29</v>
      </c>
      <c r="E14" s="6">
        <v>-468534.73000000016</v>
      </c>
      <c r="F14" s="9">
        <v>286169.55999999988</v>
      </c>
      <c r="G14" s="9">
        <v>754704.29</v>
      </c>
      <c r="H14" s="9">
        <v>-470738.98000000016</v>
      </c>
      <c r="I14" s="9">
        <v>283965.30999999988</v>
      </c>
      <c r="J14" s="9">
        <v>754704.29</v>
      </c>
      <c r="K14" s="9">
        <v>-472943.23000000016</v>
      </c>
      <c r="L14" s="9">
        <v>281761.05999999988</v>
      </c>
      <c r="M14" s="9">
        <v>754704.29</v>
      </c>
      <c r="N14" s="9">
        <v>-475147.48000000016</v>
      </c>
      <c r="O14" s="9">
        <v>279556.80999999988</v>
      </c>
      <c r="P14" s="9">
        <v>754704.29</v>
      </c>
      <c r="Q14" s="9">
        <v>-477351.73000000016</v>
      </c>
      <c r="R14" s="9">
        <v>277352.55999999988</v>
      </c>
      <c r="S14" s="9">
        <v>754704.29</v>
      </c>
      <c r="T14" s="9">
        <v>-479555.98000000016</v>
      </c>
      <c r="U14" s="9">
        <v>275148.30999999988</v>
      </c>
      <c r="V14" s="9">
        <v>754704.29</v>
      </c>
      <c r="W14" s="9">
        <v>-481760.23000000016</v>
      </c>
      <c r="X14" s="9">
        <v>272944.05999999988</v>
      </c>
      <c r="Y14" s="9">
        <v>754704.29</v>
      </c>
      <c r="Z14" s="9">
        <v>-483828.17000000016</v>
      </c>
      <c r="AA14" s="9">
        <v>270876.11999999988</v>
      </c>
      <c r="AB14" s="9">
        <v>754704.29</v>
      </c>
      <c r="AC14" s="9">
        <v>-485896.11000000016</v>
      </c>
      <c r="AD14" s="9">
        <v>268808.17999999988</v>
      </c>
      <c r="AE14" s="9">
        <v>754704.29</v>
      </c>
      <c r="AF14" s="9">
        <v>-487964.05000000016</v>
      </c>
      <c r="AG14" s="9">
        <v>266740.23999999987</v>
      </c>
      <c r="AH14" s="9">
        <v>754704.29</v>
      </c>
      <c r="AI14" s="9">
        <v>-490031.99000000017</v>
      </c>
      <c r="AJ14" s="9">
        <v>264672.29999999987</v>
      </c>
      <c r="AK14" s="9">
        <v>754704.29</v>
      </c>
      <c r="AL14" s="9">
        <v>-492099.92000000016</v>
      </c>
      <c r="AM14" s="9">
        <v>262604.36999999988</v>
      </c>
      <c r="AN14" s="6">
        <v>754704.29</v>
      </c>
      <c r="AO14" s="6">
        <v>-494167.86000000016</v>
      </c>
      <c r="AP14" s="9">
        <v>260536.42999999988</v>
      </c>
    </row>
    <row r="15" spans="1:42">
      <c r="A15" t="s">
        <v>79</v>
      </c>
      <c r="B15" t="s">
        <v>163</v>
      </c>
      <c r="C15" t="s">
        <v>167</v>
      </c>
      <c r="D15" s="6">
        <v>41617136.25</v>
      </c>
      <c r="E15" s="6">
        <v>-32253618.669999991</v>
      </c>
      <c r="F15" s="9">
        <v>9363517.5800000094</v>
      </c>
      <c r="G15" s="9">
        <v>41617136.25</v>
      </c>
      <c r="H15" s="9">
        <v>-32335709.499999989</v>
      </c>
      <c r="I15" s="9">
        <v>9281426.7500000112</v>
      </c>
      <c r="J15" s="9">
        <v>41617136.25</v>
      </c>
      <c r="K15" s="9">
        <v>-32417800.269999988</v>
      </c>
      <c r="L15" s="9">
        <v>9199335.9800000116</v>
      </c>
      <c r="M15" s="9">
        <v>41617136.25</v>
      </c>
      <c r="N15" s="9">
        <v>-32498717.889999989</v>
      </c>
      <c r="O15" s="9">
        <v>9118418.3600000106</v>
      </c>
      <c r="P15" s="9">
        <v>41617136.25</v>
      </c>
      <c r="Q15" s="9">
        <v>-32579225.489999991</v>
      </c>
      <c r="R15" s="9">
        <v>9037910.7600000091</v>
      </c>
      <c r="S15" s="9">
        <v>41617136.25</v>
      </c>
      <c r="T15" s="9">
        <v>-32659733.139999989</v>
      </c>
      <c r="U15" s="9">
        <v>8957403.1100000106</v>
      </c>
      <c r="V15" s="9">
        <v>41617136.25</v>
      </c>
      <c r="W15" s="9">
        <v>-32740240.699999988</v>
      </c>
      <c r="X15" s="9">
        <v>8876895.5500000119</v>
      </c>
      <c r="Y15" s="9">
        <v>41617136.25</v>
      </c>
      <c r="Z15" s="9">
        <v>-32819913.469999988</v>
      </c>
      <c r="AA15" s="9">
        <v>8797222.7800000124</v>
      </c>
      <c r="AB15" s="9">
        <v>41617136.25</v>
      </c>
      <c r="AC15" s="9">
        <v>-32899586.11999999</v>
      </c>
      <c r="AD15" s="9">
        <v>8717550.1300000101</v>
      </c>
      <c r="AE15" s="9">
        <v>41617136.25</v>
      </c>
      <c r="AF15" s="9">
        <v>-32979258.899999987</v>
      </c>
      <c r="AG15" s="9">
        <v>8637877.3500000127</v>
      </c>
      <c r="AH15" s="9">
        <v>41617136.25</v>
      </c>
      <c r="AI15" s="9">
        <v>-33058931.539999988</v>
      </c>
      <c r="AJ15" s="9">
        <v>8558204.7100000121</v>
      </c>
      <c r="AK15" s="9">
        <v>41617136.25</v>
      </c>
      <c r="AL15" s="9">
        <v>-33138604.359999988</v>
      </c>
      <c r="AM15" s="9">
        <v>8478531.8900000118</v>
      </c>
      <c r="AN15" s="6">
        <v>42628460.140000001</v>
      </c>
      <c r="AO15" s="6">
        <v>-33132041.59999999</v>
      </c>
      <c r="AP15" s="9">
        <v>9496418.5400000103</v>
      </c>
    </row>
    <row r="16" spans="1:42">
      <c r="A16" t="s">
        <v>81</v>
      </c>
      <c r="B16" t="s">
        <v>163</v>
      </c>
      <c r="C16" t="s">
        <v>167</v>
      </c>
      <c r="D16" s="6">
        <v>27744976.029999997</v>
      </c>
      <c r="E16" s="6">
        <v>-23759086.710000001</v>
      </c>
      <c r="F16" s="9">
        <v>3985889.3199999966</v>
      </c>
      <c r="G16" s="9">
        <v>27744976.029999997</v>
      </c>
      <c r="H16" s="9">
        <v>-23812286.68</v>
      </c>
      <c r="I16" s="9">
        <v>3932689.3499999978</v>
      </c>
      <c r="J16" s="9">
        <v>27744976.029999997</v>
      </c>
      <c r="K16" s="9">
        <v>-23865486.609999999</v>
      </c>
      <c r="L16" s="9">
        <v>3879489.4199999981</v>
      </c>
      <c r="M16" s="9">
        <v>27744976.029999997</v>
      </c>
      <c r="N16" s="9">
        <v>-23918686.710000001</v>
      </c>
      <c r="O16" s="9">
        <v>3826289.3199999966</v>
      </c>
      <c r="P16" s="9">
        <v>27744976.029999997</v>
      </c>
      <c r="Q16" s="9">
        <v>-23971886.66</v>
      </c>
      <c r="R16" s="9">
        <v>3773089.3699999973</v>
      </c>
      <c r="S16" s="9">
        <v>27744976.029999997</v>
      </c>
      <c r="T16" s="9">
        <v>-24025086.870000001</v>
      </c>
      <c r="U16" s="9">
        <v>3719889.1599999964</v>
      </c>
      <c r="V16" s="9">
        <v>27744976.029999997</v>
      </c>
      <c r="W16" s="9">
        <v>-24078286.82</v>
      </c>
      <c r="X16" s="9">
        <v>3666689.2099999972</v>
      </c>
      <c r="Y16" s="9">
        <v>27744976.029999997</v>
      </c>
      <c r="Z16" s="9">
        <v>-24129519.130000003</v>
      </c>
      <c r="AA16" s="9">
        <v>3615456.8999999948</v>
      </c>
      <c r="AB16" s="9">
        <v>27744976.029999997</v>
      </c>
      <c r="AC16" s="9">
        <v>-24180510.880000003</v>
      </c>
      <c r="AD16" s="9">
        <v>3564465.1499999948</v>
      </c>
      <c r="AE16" s="9">
        <v>27841464.580000002</v>
      </c>
      <c r="AF16" s="9">
        <v>-24196346.710000001</v>
      </c>
      <c r="AG16" s="9">
        <v>3645117.870000001</v>
      </c>
      <c r="AH16" s="9">
        <v>27816464.580000002</v>
      </c>
      <c r="AI16" s="9">
        <v>-24223127.18</v>
      </c>
      <c r="AJ16" s="9">
        <v>3593337.4000000022</v>
      </c>
      <c r="AK16" s="9">
        <v>27816464.580000002</v>
      </c>
      <c r="AL16" s="9">
        <v>-24274907.950000003</v>
      </c>
      <c r="AM16" s="9">
        <v>3541556.629999999</v>
      </c>
      <c r="AN16" s="6">
        <v>28565149.419999998</v>
      </c>
      <c r="AO16" s="6">
        <v>-23916171.470000003</v>
      </c>
      <c r="AP16" s="9">
        <v>4648977.9499999955</v>
      </c>
    </row>
    <row r="17" spans="1:42">
      <c r="A17" t="s">
        <v>82</v>
      </c>
      <c r="B17" t="s">
        <v>163</v>
      </c>
      <c r="C17" t="s">
        <v>167</v>
      </c>
      <c r="D17" s="6">
        <v>8156589.9099999992</v>
      </c>
      <c r="E17" s="6">
        <v>-7190564.46</v>
      </c>
      <c r="F17" s="9">
        <v>966025.44999999925</v>
      </c>
      <c r="G17" s="9">
        <v>8156589.9099999992</v>
      </c>
      <c r="H17" s="9">
        <v>-7208103.6100000003</v>
      </c>
      <c r="I17" s="9">
        <v>948486.29999999888</v>
      </c>
      <c r="J17" s="9">
        <v>8156589.9099999992</v>
      </c>
      <c r="K17" s="9">
        <v>-7225642.7599999998</v>
      </c>
      <c r="L17" s="9">
        <v>930947.14999999944</v>
      </c>
      <c r="M17" s="9">
        <v>8156589.9099999992</v>
      </c>
      <c r="N17" s="9">
        <v>-7243181.9500000002</v>
      </c>
      <c r="O17" s="9">
        <v>913407.95999999903</v>
      </c>
      <c r="P17" s="9">
        <v>8156589.9099999992</v>
      </c>
      <c r="Q17" s="9">
        <v>-7260721.1399999997</v>
      </c>
      <c r="R17" s="9">
        <v>895868.76999999955</v>
      </c>
      <c r="S17" s="9">
        <v>8156589.9099999992</v>
      </c>
      <c r="T17" s="9">
        <v>-7278260.3499999996</v>
      </c>
      <c r="U17" s="9">
        <v>878329.55999999959</v>
      </c>
      <c r="V17" s="9">
        <v>8156589.9099999992</v>
      </c>
      <c r="W17" s="9">
        <v>-7295799.54</v>
      </c>
      <c r="X17" s="9">
        <v>860790.36999999918</v>
      </c>
      <c r="Y17" s="9">
        <v>8156589.9099999992</v>
      </c>
      <c r="Z17" s="9">
        <v>-7313338.7599999998</v>
      </c>
      <c r="AA17" s="9">
        <v>843251.14999999944</v>
      </c>
      <c r="AB17" s="9">
        <v>8156589.9099999992</v>
      </c>
      <c r="AC17" s="9">
        <v>-7330877.9399999995</v>
      </c>
      <c r="AD17" s="9">
        <v>825711.96999999974</v>
      </c>
      <c r="AE17" s="9">
        <v>8261831.2800000003</v>
      </c>
      <c r="AF17" s="9">
        <v>-7350476.5199999996</v>
      </c>
      <c r="AG17" s="9">
        <v>911354.76000000071</v>
      </c>
      <c r="AH17" s="9">
        <v>8211831.2800000003</v>
      </c>
      <c r="AI17" s="9">
        <v>-7327442.4799999995</v>
      </c>
      <c r="AJ17" s="9">
        <v>884388.80000000075</v>
      </c>
      <c r="AK17" s="9">
        <v>8211831.2800000003</v>
      </c>
      <c r="AL17" s="9">
        <v>-7343783.3999999994</v>
      </c>
      <c r="AM17" s="9">
        <v>868047.88000000082</v>
      </c>
      <c r="AN17" s="6">
        <v>8169632.919999999</v>
      </c>
      <c r="AO17" s="6">
        <v>-7321447.7799999993</v>
      </c>
      <c r="AP17" s="9">
        <v>848185.13999999966</v>
      </c>
    </row>
    <row r="18" spans="1:42">
      <c r="A18" t="s">
        <v>83</v>
      </c>
      <c r="B18" t="s">
        <v>163</v>
      </c>
      <c r="C18" t="s">
        <v>167</v>
      </c>
      <c r="D18" s="6">
        <v>1578200.75</v>
      </c>
      <c r="E18" s="6">
        <v>0</v>
      </c>
      <c r="F18" s="9">
        <v>1578200.75</v>
      </c>
      <c r="G18" s="9">
        <v>1578200.75</v>
      </c>
      <c r="H18" s="9">
        <v>0</v>
      </c>
      <c r="I18" s="9">
        <v>1578200.75</v>
      </c>
      <c r="J18" s="9">
        <v>1578200.75</v>
      </c>
      <c r="K18" s="9">
        <v>0</v>
      </c>
      <c r="L18" s="9">
        <v>1578200.75</v>
      </c>
      <c r="M18" s="9">
        <v>1578200.75</v>
      </c>
      <c r="N18" s="9">
        <v>0</v>
      </c>
      <c r="O18" s="9">
        <v>1578200.75</v>
      </c>
      <c r="P18" s="9">
        <v>1578200.75</v>
      </c>
      <c r="Q18" s="9">
        <v>0</v>
      </c>
      <c r="R18" s="9">
        <v>1578200.75</v>
      </c>
      <c r="S18" s="9">
        <v>1578200.75</v>
      </c>
      <c r="T18" s="9">
        <v>0</v>
      </c>
      <c r="U18" s="9">
        <v>1578200.75</v>
      </c>
      <c r="V18" s="9">
        <v>1578200.75</v>
      </c>
      <c r="W18" s="9">
        <v>0</v>
      </c>
      <c r="X18" s="9">
        <v>1578200.75</v>
      </c>
      <c r="Y18" s="9">
        <v>1578200.75</v>
      </c>
      <c r="Z18" s="9">
        <v>0</v>
      </c>
      <c r="AA18" s="9">
        <v>1578200.75</v>
      </c>
      <c r="AB18" s="9">
        <v>1578200.75</v>
      </c>
      <c r="AC18" s="9">
        <v>0</v>
      </c>
      <c r="AD18" s="9">
        <v>1578200.75</v>
      </c>
      <c r="AE18" s="9">
        <v>1578200.75</v>
      </c>
      <c r="AF18" s="9">
        <v>0</v>
      </c>
      <c r="AG18" s="9">
        <v>1578200.75</v>
      </c>
      <c r="AH18" s="9">
        <v>1578200.75</v>
      </c>
      <c r="AI18" s="9">
        <v>0</v>
      </c>
      <c r="AJ18" s="9">
        <v>1578200.75</v>
      </c>
      <c r="AK18" s="9">
        <v>1578200.75</v>
      </c>
      <c r="AL18" s="9">
        <v>0</v>
      </c>
      <c r="AM18" s="9">
        <v>1578200.75</v>
      </c>
      <c r="AN18" s="6">
        <v>1578200.75</v>
      </c>
      <c r="AO18" s="6">
        <v>0</v>
      </c>
      <c r="AP18" s="9">
        <v>1578200.75</v>
      </c>
    </row>
    <row r="19" spans="1:42">
      <c r="A19" t="s">
        <v>85</v>
      </c>
      <c r="B19" t="s">
        <v>163</v>
      </c>
      <c r="C19" t="s">
        <v>167</v>
      </c>
      <c r="D19" s="6">
        <v>6077493.0999999996</v>
      </c>
      <c r="E19" s="6">
        <v>-2940292.0100000007</v>
      </c>
      <c r="F19" s="9">
        <v>3137201.0899999989</v>
      </c>
      <c r="G19" s="9">
        <v>6077493.0999999996</v>
      </c>
      <c r="H19" s="9">
        <v>-2949131.2400000007</v>
      </c>
      <c r="I19" s="9">
        <v>3128361.8599999989</v>
      </c>
      <c r="J19" s="9">
        <v>6077493.0999999996</v>
      </c>
      <c r="K19" s="9">
        <v>-2957970.4700000007</v>
      </c>
      <c r="L19" s="9">
        <v>3119522.629999999</v>
      </c>
      <c r="M19" s="9">
        <v>6077493.0999999996</v>
      </c>
      <c r="N19" s="9">
        <v>-2966809.7000000007</v>
      </c>
      <c r="O19" s="9">
        <v>3110683.399999999</v>
      </c>
      <c r="P19" s="9">
        <v>6077493.0999999996</v>
      </c>
      <c r="Q19" s="9">
        <v>-2975648.9300000011</v>
      </c>
      <c r="R19" s="9">
        <v>3101844.1699999985</v>
      </c>
      <c r="S19" s="9">
        <v>6077493.0999999996</v>
      </c>
      <c r="T19" s="9">
        <v>-2984488.1600000011</v>
      </c>
      <c r="U19" s="9">
        <v>3093004.9399999985</v>
      </c>
      <c r="V19" s="9">
        <v>6077493.0999999996</v>
      </c>
      <c r="W19" s="9">
        <v>-2993327.3900000011</v>
      </c>
      <c r="X19" s="9">
        <v>3084165.7099999986</v>
      </c>
      <c r="Y19" s="9">
        <v>6077493.0999999996</v>
      </c>
      <c r="Z19" s="9">
        <v>-3002166.620000001</v>
      </c>
      <c r="AA19" s="9">
        <v>3075326.4799999986</v>
      </c>
      <c r="AB19" s="9">
        <v>6077493.0999999996</v>
      </c>
      <c r="AC19" s="9">
        <v>-3011005.850000001</v>
      </c>
      <c r="AD19" s="9">
        <v>3066487.2499999986</v>
      </c>
      <c r="AE19" s="9">
        <v>6077493.0999999996</v>
      </c>
      <c r="AF19" s="9">
        <v>-3019845.080000001</v>
      </c>
      <c r="AG19" s="9">
        <v>3057648.0199999986</v>
      </c>
      <c r="AH19" s="9">
        <v>6077493.0999999996</v>
      </c>
      <c r="AI19" s="9">
        <v>-3028684.310000001</v>
      </c>
      <c r="AJ19" s="9">
        <v>3048808.7899999986</v>
      </c>
      <c r="AK19" s="9">
        <v>6077493.0999999996</v>
      </c>
      <c r="AL19" s="9">
        <v>-3037523.560000001</v>
      </c>
      <c r="AM19" s="9">
        <v>3039969.5399999986</v>
      </c>
      <c r="AN19" s="6">
        <v>6077493.0999999996</v>
      </c>
      <c r="AO19" s="6">
        <v>-3046362.790000001</v>
      </c>
      <c r="AP19" s="9">
        <v>3031130.3099999987</v>
      </c>
    </row>
    <row r="20" spans="1:42">
      <c r="A20" t="s">
        <v>86</v>
      </c>
      <c r="B20" t="s">
        <v>163</v>
      </c>
      <c r="C20" t="s">
        <v>167</v>
      </c>
      <c r="D20" s="6">
        <v>12514552.750000002</v>
      </c>
      <c r="E20" s="6">
        <v>-7235055.5499999961</v>
      </c>
      <c r="F20" s="9">
        <v>5279497.2000000058</v>
      </c>
      <c r="G20" s="9">
        <v>12514552.750000002</v>
      </c>
      <c r="H20" s="9">
        <v>-7254985.6299999962</v>
      </c>
      <c r="I20" s="9">
        <v>5259567.1200000057</v>
      </c>
      <c r="J20" s="9">
        <v>12514552.750000002</v>
      </c>
      <c r="K20" s="9">
        <v>-7274915.7099999962</v>
      </c>
      <c r="L20" s="9">
        <v>5239637.0400000056</v>
      </c>
      <c r="M20" s="9">
        <v>12514552.750000002</v>
      </c>
      <c r="N20" s="9">
        <v>-7294845.7899999963</v>
      </c>
      <c r="O20" s="9">
        <v>5219706.9600000056</v>
      </c>
      <c r="P20" s="9">
        <v>12514552.750000002</v>
      </c>
      <c r="Q20" s="9">
        <v>-7314775.8599999966</v>
      </c>
      <c r="R20" s="9">
        <v>5199776.8900000053</v>
      </c>
      <c r="S20" s="9">
        <v>12514552.750000002</v>
      </c>
      <c r="T20" s="9">
        <v>-7334705.9399999967</v>
      </c>
      <c r="U20" s="9">
        <v>5179846.8100000052</v>
      </c>
      <c r="V20" s="9">
        <v>12514552.750000002</v>
      </c>
      <c r="W20" s="9">
        <v>-7354636.0099999961</v>
      </c>
      <c r="X20" s="9">
        <v>5159916.7400000058</v>
      </c>
      <c r="Y20" s="9">
        <v>12514552.750000002</v>
      </c>
      <c r="Z20" s="9">
        <v>-7374566.0899999961</v>
      </c>
      <c r="AA20" s="9">
        <v>5139986.6600000057</v>
      </c>
      <c r="AB20" s="9">
        <v>12514552.750000002</v>
      </c>
      <c r="AC20" s="9">
        <v>-7394496.1499999957</v>
      </c>
      <c r="AD20" s="9">
        <v>5120056.6000000061</v>
      </c>
      <c r="AE20" s="9">
        <v>12514552.750000002</v>
      </c>
      <c r="AF20" s="9">
        <v>-7414426.2299999958</v>
      </c>
      <c r="AG20" s="9">
        <v>5100126.5200000061</v>
      </c>
      <c r="AH20" s="9">
        <v>12514552.750000002</v>
      </c>
      <c r="AI20" s="9">
        <v>-7434356.2899999963</v>
      </c>
      <c r="AJ20" s="9">
        <v>5080196.4600000056</v>
      </c>
      <c r="AK20" s="9">
        <v>12514552.750000002</v>
      </c>
      <c r="AL20" s="9">
        <v>-7454286.3699999964</v>
      </c>
      <c r="AM20" s="9">
        <v>5060266.3800000055</v>
      </c>
      <c r="AN20" s="6">
        <v>12514552.750000002</v>
      </c>
      <c r="AO20" s="6">
        <v>-7474216.4399999958</v>
      </c>
      <c r="AP20" s="9">
        <v>5040336.3100000061</v>
      </c>
    </row>
    <row r="21" spans="1:42">
      <c r="A21" t="s">
        <v>88</v>
      </c>
      <c r="B21" t="s">
        <v>163</v>
      </c>
      <c r="C21" t="s">
        <v>167</v>
      </c>
      <c r="D21" s="6">
        <v>22096401.800000001</v>
      </c>
      <c r="E21" s="6">
        <v>-10914457.709999999</v>
      </c>
      <c r="F21" s="9">
        <v>11181944.090000002</v>
      </c>
      <c r="G21" s="9">
        <v>22096401.800000001</v>
      </c>
      <c r="H21" s="9">
        <v>-10977869.66</v>
      </c>
      <c r="I21" s="9">
        <v>11118532.140000001</v>
      </c>
      <c r="J21" s="9">
        <v>22096401.800000001</v>
      </c>
      <c r="K21" s="9">
        <v>-11041281.6</v>
      </c>
      <c r="L21" s="9">
        <v>11055120.200000001</v>
      </c>
      <c r="M21" s="9">
        <v>22096401.800000001</v>
      </c>
      <c r="N21" s="9">
        <v>-11104693.569999998</v>
      </c>
      <c r="O21" s="9">
        <v>10991708.230000002</v>
      </c>
      <c r="P21" s="9">
        <v>22096401.800000001</v>
      </c>
      <c r="Q21" s="9">
        <v>-11168105.489999998</v>
      </c>
      <c r="R21" s="9">
        <v>10928296.310000002</v>
      </c>
      <c r="S21" s="9">
        <v>22096401.800000001</v>
      </c>
      <c r="T21" s="9">
        <v>-11231517.479999999</v>
      </c>
      <c r="U21" s="9">
        <v>10864884.320000002</v>
      </c>
      <c r="V21" s="9">
        <v>22096401.800000001</v>
      </c>
      <c r="W21" s="9">
        <v>-11294929.389999999</v>
      </c>
      <c r="X21" s="9">
        <v>10801472.410000002</v>
      </c>
      <c r="Y21" s="9">
        <v>22096401.800000001</v>
      </c>
      <c r="Z21" s="9">
        <v>-11358341.379999999</v>
      </c>
      <c r="AA21" s="9">
        <v>10738060.420000002</v>
      </c>
      <c r="AB21" s="9">
        <v>22096401.800000001</v>
      </c>
      <c r="AC21" s="9">
        <v>-11421753.289999999</v>
      </c>
      <c r="AD21" s="9">
        <v>10674648.510000002</v>
      </c>
      <c r="AE21" s="9">
        <v>22191833.180000003</v>
      </c>
      <c r="AF21" s="9">
        <v>-11486755.789999999</v>
      </c>
      <c r="AG21" s="9">
        <v>10705077.390000004</v>
      </c>
      <c r="AH21" s="9">
        <v>22191833.180000003</v>
      </c>
      <c r="AI21" s="9">
        <v>-11550565.309999999</v>
      </c>
      <c r="AJ21" s="9">
        <v>10641267.870000005</v>
      </c>
      <c r="AK21" s="9">
        <v>22191833.180000003</v>
      </c>
      <c r="AL21" s="9">
        <v>-11614374.939999999</v>
      </c>
      <c r="AM21" s="9">
        <v>10577458.240000004</v>
      </c>
      <c r="AN21" s="6">
        <v>22191833.180000003</v>
      </c>
      <c r="AO21" s="6">
        <v>-11678184.489999998</v>
      </c>
      <c r="AP21" s="9">
        <v>10513648.690000005</v>
      </c>
    </row>
    <row r="22" spans="1:42">
      <c r="A22" t="s">
        <v>90</v>
      </c>
      <c r="B22" t="s">
        <v>163</v>
      </c>
      <c r="C22" t="s">
        <v>167</v>
      </c>
      <c r="D22" s="6">
        <v>3308872.6</v>
      </c>
      <c r="E22" s="6">
        <v>-3128773.8699999978</v>
      </c>
      <c r="F22" s="9">
        <v>180098.73000000231</v>
      </c>
      <c r="G22" s="9">
        <v>3308872.6</v>
      </c>
      <c r="H22" s="9">
        <v>-3130153.4299999974</v>
      </c>
      <c r="I22" s="9">
        <v>178719.17000000272</v>
      </c>
      <c r="J22" s="9">
        <v>3308872.6</v>
      </c>
      <c r="K22" s="9">
        <v>-3131532.9799999977</v>
      </c>
      <c r="L22" s="9">
        <v>177339.62000000244</v>
      </c>
      <c r="M22" s="9">
        <v>3308872.6</v>
      </c>
      <c r="N22" s="9">
        <v>-3132912.5399999977</v>
      </c>
      <c r="O22" s="9">
        <v>175960.06000000238</v>
      </c>
      <c r="P22" s="9">
        <v>3308872.6</v>
      </c>
      <c r="Q22" s="9">
        <v>-3134292.0799999977</v>
      </c>
      <c r="R22" s="9">
        <v>174580.52000000235</v>
      </c>
      <c r="S22" s="9">
        <v>3308872.6</v>
      </c>
      <c r="T22" s="9">
        <v>-3135671.6399999973</v>
      </c>
      <c r="U22" s="9">
        <v>173200.96000000276</v>
      </c>
      <c r="V22" s="9">
        <v>3308872.6</v>
      </c>
      <c r="W22" s="9">
        <v>-3137051.1699999976</v>
      </c>
      <c r="X22" s="9">
        <v>171821.4300000025</v>
      </c>
      <c r="Y22" s="9">
        <v>3308872.6</v>
      </c>
      <c r="Z22" s="9">
        <v>-3138414.6199999978</v>
      </c>
      <c r="AA22" s="9">
        <v>170457.98000000231</v>
      </c>
      <c r="AB22" s="9">
        <v>3308872.6</v>
      </c>
      <c r="AC22" s="9">
        <v>-3139778.0499999975</v>
      </c>
      <c r="AD22" s="9">
        <v>169094.55000000261</v>
      </c>
      <c r="AE22" s="9">
        <v>3308872.6</v>
      </c>
      <c r="AF22" s="9">
        <v>-3141141.4999999977</v>
      </c>
      <c r="AG22" s="9">
        <v>167731.10000000242</v>
      </c>
      <c r="AH22" s="9">
        <v>3308872.6</v>
      </c>
      <c r="AI22" s="9">
        <v>-3142504.9199999976</v>
      </c>
      <c r="AJ22" s="9">
        <v>166367.6800000025</v>
      </c>
      <c r="AK22" s="9">
        <v>3308872.6</v>
      </c>
      <c r="AL22" s="9">
        <v>-3143868.3699999978</v>
      </c>
      <c r="AM22" s="9">
        <v>165004.23000000231</v>
      </c>
      <c r="AN22" s="6">
        <v>3308872.6</v>
      </c>
      <c r="AO22" s="6">
        <v>-3145231.7799999975</v>
      </c>
      <c r="AP22" s="9">
        <v>163640.82000000263</v>
      </c>
    </row>
    <row r="23" spans="1:42">
      <c r="A23" t="s">
        <v>91</v>
      </c>
      <c r="B23" t="s">
        <v>163</v>
      </c>
      <c r="C23" t="s">
        <v>167</v>
      </c>
      <c r="D23" s="6">
        <v>387100.68</v>
      </c>
      <c r="E23" s="6">
        <v>-351666.95999999979</v>
      </c>
      <c r="F23" s="9">
        <v>35433.720000000205</v>
      </c>
      <c r="G23" s="9">
        <v>387100.68</v>
      </c>
      <c r="H23" s="9">
        <v>-352519.38999999978</v>
      </c>
      <c r="I23" s="9">
        <v>34581.290000000212</v>
      </c>
      <c r="J23" s="9">
        <v>387100.68</v>
      </c>
      <c r="K23" s="9">
        <v>-353371.81999999983</v>
      </c>
      <c r="L23" s="9">
        <v>33728.860000000161</v>
      </c>
      <c r="M23" s="9">
        <v>387100.68</v>
      </c>
      <c r="N23" s="9">
        <v>-354224.24999999983</v>
      </c>
      <c r="O23" s="9">
        <v>32876.430000000168</v>
      </c>
      <c r="P23" s="9">
        <v>387100.68</v>
      </c>
      <c r="Q23" s="9">
        <v>-355076.66999999981</v>
      </c>
      <c r="R23" s="9">
        <v>32024.010000000184</v>
      </c>
      <c r="S23" s="9">
        <v>387100.68</v>
      </c>
      <c r="T23" s="9">
        <v>-355929.0999999998</v>
      </c>
      <c r="U23" s="9">
        <v>31171.580000000191</v>
      </c>
      <c r="V23" s="9">
        <v>387100.68</v>
      </c>
      <c r="W23" s="9">
        <v>-356781.51999999979</v>
      </c>
      <c r="X23" s="9">
        <v>30319.160000000207</v>
      </c>
      <c r="Y23" s="9">
        <v>387100.68</v>
      </c>
      <c r="Z23" s="9">
        <v>-357633.94999999978</v>
      </c>
      <c r="AA23" s="9">
        <v>29466.730000000214</v>
      </c>
      <c r="AB23" s="9">
        <v>387100.68</v>
      </c>
      <c r="AC23" s="9">
        <v>-358486.36999999982</v>
      </c>
      <c r="AD23" s="9">
        <v>28614.310000000172</v>
      </c>
      <c r="AE23" s="9">
        <v>387100.68</v>
      </c>
      <c r="AF23" s="9">
        <v>-359127.81999999977</v>
      </c>
      <c r="AG23" s="9">
        <v>27972.860000000219</v>
      </c>
      <c r="AH23" s="9">
        <v>387100.68</v>
      </c>
      <c r="AI23" s="9">
        <v>-359769.26999999979</v>
      </c>
      <c r="AJ23" s="9">
        <v>27331.410000000207</v>
      </c>
      <c r="AK23" s="9">
        <v>387100.68</v>
      </c>
      <c r="AL23" s="9">
        <v>-360410.72999999981</v>
      </c>
      <c r="AM23" s="9">
        <v>26689.950000000186</v>
      </c>
      <c r="AN23" s="6">
        <v>387100.68</v>
      </c>
      <c r="AO23" s="6">
        <v>-361052.2199999998</v>
      </c>
      <c r="AP23" s="9">
        <v>26048.460000000196</v>
      </c>
    </row>
    <row r="24" spans="1:42">
      <c r="A24" t="s">
        <v>154</v>
      </c>
      <c r="B24" t="s">
        <v>163</v>
      </c>
      <c r="C24" t="s">
        <v>167</v>
      </c>
      <c r="D24" s="6">
        <v>0</v>
      </c>
      <c r="E24" s="6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6">
        <v>0</v>
      </c>
      <c r="AO24" s="6">
        <v>0</v>
      </c>
      <c r="AP24" s="9">
        <v>0</v>
      </c>
    </row>
    <row r="25" spans="1:42">
      <c r="A25" t="s">
        <v>92</v>
      </c>
      <c r="B25" t="s">
        <v>163</v>
      </c>
      <c r="C25" t="s">
        <v>167</v>
      </c>
      <c r="D25" s="6">
        <v>1038572.94</v>
      </c>
      <c r="E25" s="6">
        <v>0</v>
      </c>
      <c r="F25" s="9">
        <v>1038572.94</v>
      </c>
      <c r="G25" s="9">
        <v>1038572.94</v>
      </c>
      <c r="H25" s="9">
        <v>0</v>
      </c>
      <c r="I25" s="9">
        <v>1038572.94</v>
      </c>
      <c r="J25" s="9">
        <v>1038572.94</v>
      </c>
      <c r="K25" s="9">
        <v>0</v>
      </c>
      <c r="L25" s="9">
        <v>1038572.94</v>
      </c>
      <c r="M25" s="9">
        <v>1038572.94</v>
      </c>
      <c r="N25" s="9">
        <v>0</v>
      </c>
      <c r="O25" s="9">
        <v>1038572.94</v>
      </c>
      <c r="P25" s="9">
        <v>1038572.94</v>
      </c>
      <c r="Q25" s="9">
        <v>0</v>
      </c>
      <c r="R25" s="9">
        <v>1038572.94</v>
      </c>
      <c r="S25" s="9">
        <v>1038572.94</v>
      </c>
      <c r="T25" s="9">
        <v>0</v>
      </c>
      <c r="U25" s="9">
        <v>1038572.94</v>
      </c>
      <c r="V25" s="9">
        <v>1038572.94</v>
      </c>
      <c r="W25" s="9">
        <v>0</v>
      </c>
      <c r="X25" s="9">
        <v>1038572.94</v>
      </c>
      <c r="Y25" s="9">
        <v>1038572.94</v>
      </c>
      <c r="Z25" s="9">
        <v>0</v>
      </c>
      <c r="AA25" s="9">
        <v>1038572.94</v>
      </c>
      <c r="AB25" s="9">
        <v>1038572.94</v>
      </c>
      <c r="AC25" s="9">
        <v>0</v>
      </c>
      <c r="AD25" s="9">
        <v>1038572.94</v>
      </c>
      <c r="AE25" s="9">
        <v>1038572.94</v>
      </c>
      <c r="AF25" s="9">
        <v>0</v>
      </c>
      <c r="AG25" s="9">
        <v>1038572.94</v>
      </c>
      <c r="AH25" s="9">
        <v>1038572.94</v>
      </c>
      <c r="AI25" s="9">
        <v>0</v>
      </c>
      <c r="AJ25" s="9">
        <v>1038572.94</v>
      </c>
      <c r="AK25" s="9">
        <v>1038572.94</v>
      </c>
      <c r="AL25" s="9">
        <v>0</v>
      </c>
      <c r="AM25" s="9">
        <v>1038572.94</v>
      </c>
      <c r="AN25" s="6">
        <v>1038572.94</v>
      </c>
      <c r="AO25" s="6">
        <v>0</v>
      </c>
      <c r="AP25" s="9">
        <v>1038572.94</v>
      </c>
    </row>
    <row r="26" spans="1:42">
      <c r="A26" t="s">
        <v>94</v>
      </c>
      <c r="B26" t="s">
        <v>163</v>
      </c>
      <c r="C26" t="s">
        <v>167</v>
      </c>
      <c r="D26" s="6">
        <v>25161662.379999999</v>
      </c>
      <c r="E26" s="6">
        <v>-19497935.059999995</v>
      </c>
      <c r="F26" s="9">
        <v>5663727.320000004</v>
      </c>
      <c r="G26" s="9">
        <v>25161662.379999999</v>
      </c>
      <c r="H26" s="9">
        <v>-19575705.889999997</v>
      </c>
      <c r="I26" s="9">
        <v>5585956.4900000021</v>
      </c>
      <c r="J26" s="9">
        <v>25161662.379999999</v>
      </c>
      <c r="K26" s="9">
        <v>-19653476.729999997</v>
      </c>
      <c r="L26" s="9">
        <v>5508185.6500000022</v>
      </c>
      <c r="M26" s="9">
        <v>25161662.379999999</v>
      </c>
      <c r="N26" s="9">
        <v>-19731247.559999995</v>
      </c>
      <c r="O26" s="9">
        <v>5430414.820000004</v>
      </c>
      <c r="P26" s="9">
        <v>25161662.379999999</v>
      </c>
      <c r="Q26" s="9">
        <v>-19809018.409999996</v>
      </c>
      <c r="R26" s="9">
        <v>5352643.9700000025</v>
      </c>
      <c r="S26" s="9">
        <v>25161662.379999999</v>
      </c>
      <c r="T26" s="9">
        <v>-19886789.239999998</v>
      </c>
      <c r="U26" s="9">
        <v>5274873.1400000006</v>
      </c>
      <c r="V26" s="9">
        <v>25161662.379999999</v>
      </c>
      <c r="W26" s="9">
        <v>-19964560.089999996</v>
      </c>
      <c r="X26" s="9">
        <v>5197102.2900000028</v>
      </c>
      <c r="Y26" s="9">
        <v>25161662.379999999</v>
      </c>
      <c r="Z26" s="9">
        <v>-20042330.919999998</v>
      </c>
      <c r="AA26" s="9">
        <v>5119331.4600000009</v>
      </c>
      <c r="AB26" s="9">
        <v>25161662.379999999</v>
      </c>
      <c r="AC26" s="9">
        <v>-20120101.779999997</v>
      </c>
      <c r="AD26" s="9">
        <v>5041560.6000000015</v>
      </c>
      <c r="AE26" s="9">
        <v>25161662.379999999</v>
      </c>
      <c r="AF26" s="9">
        <v>-20197872.609999996</v>
      </c>
      <c r="AG26" s="9">
        <v>4963789.7700000033</v>
      </c>
      <c r="AH26" s="9">
        <v>25161662.379999999</v>
      </c>
      <c r="AI26" s="9">
        <v>-20275643.469999999</v>
      </c>
      <c r="AJ26" s="9">
        <v>4886018.91</v>
      </c>
      <c r="AK26" s="9">
        <v>28806184.91</v>
      </c>
      <c r="AL26" s="9">
        <v>-20459712.869999997</v>
      </c>
      <c r="AM26" s="9">
        <v>8346472.0400000028</v>
      </c>
      <c r="AN26" s="6">
        <v>28806184.91</v>
      </c>
      <c r="AO26" s="6">
        <v>-20552669.239999998</v>
      </c>
      <c r="AP26" s="9">
        <v>8253515.6700000018</v>
      </c>
    </row>
    <row r="27" spans="1:42">
      <c r="A27" t="s">
        <v>95</v>
      </c>
      <c r="B27" t="s">
        <v>163</v>
      </c>
      <c r="C27" t="s">
        <v>167</v>
      </c>
      <c r="D27" s="6">
        <v>8804404.7400000002</v>
      </c>
      <c r="E27" s="6">
        <v>-704796.82</v>
      </c>
      <c r="F27" s="9">
        <v>8099607.9199999999</v>
      </c>
      <c r="G27" s="9">
        <v>8804404.7400000002</v>
      </c>
      <c r="H27" s="9">
        <v>-734199.73</v>
      </c>
      <c r="I27" s="9">
        <v>8070205.0099999998</v>
      </c>
      <c r="J27" s="9">
        <v>8804404.7400000002</v>
      </c>
      <c r="K27" s="9">
        <v>-763602.52</v>
      </c>
      <c r="L27" s="9">
        <v>8040802.2200000007</v>
      </c>
      <c r="M27" s="9">
        <v>8804404.7400000002</v>
      </c>
      <c r="N27" s="9">
        <v>-793005.42</v>
      </c>
      <c r="O27" s="9">
        <v>8011399.3200000003</v>
      </c>
      <c r="P27" s="9">
        <v>8804404.7400000002</v>
      </c>
      <c r="Q27" s="9">
        <v>-822408.21000000008</v>
      </c>
      <c r="R27" s="9">
        <v>7981996.5300000003</v>
      </c>
      <c r="S27" s="9">
        <v>8804404.7400000002</v>
      </c>
      <c r="T27" s="9">
        <v>-851811.1100000001</v>
      </c>
      <c r="U27" s="9">
        <v>7952593.6299999999</v>
      </c>
      <c r="V27" s="9">
        <v>8804404.7400000002</v>
      </c>
      <c r="W27" s="9">
        <v>-881213.91000000015</v>
      </c>
      <c r="X27" s="9">
        <v>7923190.8300000001</v>
      </c>
      <c r="Y27" s="9">
        <v>8804404.7400000002</v>
      </c>
      <c r="Z27" s="9">
        <v>-910616.99000000011</v>
      </c>
      <c r="AA27" s="9">
        <v>7893787.75</v>
      </c>
      <c r="AB27" s="9">
        <v>8804404.7400000002</v>
      </c>
      <c r="AC27" s="9">
        <v>-940019.80000000016</v>
      </c>
      <c r="AD27" s="9">
        <v>7864384.9400000004</v>
      </c>
      <c r="AE27" s="9">
        <v>8804404.7400000002</v>
      </c>
      <c r="AF27" s="9">
        <v>-969422.87000000011</v>
      </c>
      <c r="AG27" s="9">
        <v>7834981.8700000001</v>
      </c>
      <c r="AH27" s="9">
        <v>8804404.7400000002</v>
      </c>
      <c r="AI27" s="9">
        <v>-998825.68000000017</v>
      </c>
      <c r="AJ27" s="9">
        <v>7805579.0600000005</v>
      </c>
      <c r="AK27" s="9">
        <v>8804404.7400000002</v>
      </c>
      <c r="AL27" s="9">
        <v>-1028228.7500000001</v>
      </c>
      <c r="AM27" s="9">
        <v>7776175.9900000002</v>
      </c>
      <c r="AN27" s="6">
        <v>8804404.7400000002</v>
      </c>
      <c r="AO27" s="6">
        <v>-1057631.5600000005</v>
      </c>
      <c r="AP27" s="9">
        <v>7746773.1799999997</v>
      </c>
    </row>
    <row r="28" spans="1:42">
      <c r="A28" t="s">
        <v>97</v>
      </c>
      <c r="B28" t="s">
        <v>163</v>
      </c>
      <c r="C28" t="s">
        <v>167</v>
      </c>
      <c r="D28" s="6">
        <v>353074868.56</v>
      </c>
      <c r="E28" s="6">
        <v>-237609800.36999997</v>
      </c>
      <c r="F28" s="9">
        <v>115465068.19000003</v>
      </c>
      <c r="G28" s="9">
        <v>353074868.56</v>
      </c>
      <c r="H28" s="9">
        <v>-238841534.70999998</v>
      </c>
      <c r="I28" s="9">
        <v>114233333.85000002</v>
      </c>
      <c r="J28" s="9">
        <v>353074868.56</v>
      </c>
      <c r="K28" s="9">
        <v>-240073269.03999996</v>
      </c>
      <c r="L28" s="9">
        <v>113001599.52000004</v>
      </c>
      <c r="M28" s="9">
        <v>353074868.56</v>
      </c>
      <c r="N28" s="9">
        <v>-241305003.63</v>
      </c>
      <c r="O28" s="9">
        <v>111769864.93000001</v>
      </c>
      <c r="P28" s="9">
        <v>353074868.56</v>
      </c>
      <c r="Q28" s="9">
        <v>-242536738.07999998</v>
      </c>
      <c r="R28" s="9">
        <v>110538130.48000002</v>
      </c>
      <c r="S28" s="9">
        <v>353074868.56</v>
      </c>
      <c r="T28" s="9">
        <v>-243768472.72999999</v>
      </c>
      <c r="U28" s="9">
        <v>109306395.83000001</v>
      </c>
      <c r="V28" s="9">
        <v>353074868.56</v>
      </c>
      <c r="W28" s="9">
        <v>-245000207.23999998</v>
      </c>
      <c r="X28" s="9">
        <v>108074661.32000002</v>
      </c>
      <c r="Y28" s="9">
        <v>353074868.56</v>
      </c>
      <c r="Z28" s="9">
        <v>-246231941.89999998</v>
      </c>
      <c r="AA28" s="9">
        <v>106842926.66000003</v>
      </c>
      <c r="AB28" s="9">
        <v>353074868.56</v>
      </c>
      <c r="AC28" s="9">
        <v>-247463676.77999997</v>
      </c>
      <c r="AD28" s="9">
        <v>105611191.78000003</v>
      </c>
      <c r="AE28" s="9">
        <v>353074868.56</v>
      </c>
      <c r="AF28" s="9">
        <v>-248695411.49999997</v>
      </c>
      <c r="AG28" s="9">
        <v>104379457.06000003</v>
      </c>
      <c r="AH28" s="9">
        <v>353074868.56</v>
      </c>
      <c r="AI28" s="9">
        <v>-249927146.38</v>
      </c>
      <c r="AJ28" s="9">
        <v>103147722.18000001</v>
      </c>
      <c r="AK28" s="9">
        <v>353074868.56</v>
      </c>
      <c r="AL28" s="9">
        <v>-251027474.56999999</v>
      </c>
      <c r="AM28" s="9">
        <v>102047393.99000001</v>
      </c>
      <c r="AN28" s="6">
        <v>389964603.63999999</v>
      </c>
      <c r="AO28" s="6">
        <v>-258755885.01999998</v>
      </c>
      <c r="AP28" s="9">
        <v>131208718.62</v>
      </c>
    </row>
    <row r="29" spans="1:42">
      <c r="A29" t="s">
        <v>98</v>
      </c>
      <c r="B29" t="s">
        <v>163</v>
      </c>
      <c r="C29" t="s">
        <v>167</v>
      </c>
      <c r="D29" s="6">
        <v>114318093.3</v>
      </c>
      <c r="E29" s="6">
        <v>-19404838.870000001</v>
      </c>
      <c r="F29" s="9">
        <v>94913254.429999992</v>
      </c>
      <c r="G29" s="9">
        <v>114318093.3</v>
      </c>
      <c r="H29" s="9">
        <v>-19858240.399999999</v>
      </c>
      <c r="I29" s="9">
        <v>94459852.900000006</v>
      </c>
      <c r="J29" s="9">
        <v>114318093.3</v>
      </c>
      <c r="K29" s="9">
        <v>-20311641.57</v>
      </c>
      <c r="L29" s="9">
        <v>94006451.729999989</v>
      </c>
      <c r="M29" s="9">
        <v>114318093.3</v>
      </c>
      <c r="N29" s="9">
        <v>-20765042.870000001</v>
      </c>
      <c r="O29" s="9">
        <v>93553050.429999992</v>
      </c>
      <c r="P29" s="9">
        <v>114318093.3</v>
      </c>
      <c r="Q29" s="9">
        <v>-21218444.020000003</v>
      </c>
      <c r="R29" s="9">
        <v>93099649.280000001</v>
      </c>
      <c r="S29" s="9">
        <v>114318093.3</v>
      </c>
      <c r="T29" s="9">
        <v>-21671845.350000001</v>
      </c>
      <c r="U29" s="9">
        <v>92646247.949999988</v>
      </c>
      <c r="V29" s="9">
        <v>114318093.3</v>
      </c>
      <c r="W29" s="9">
        <v>-22125246.719999999</v>
      </c>
      <c r="X29" s="9">
        <v>92192846.579999998</v>
      </c>
      <c r="Y29" s="9">
        <v>114318093.3</v>
      </c>
      <c r="Z29" s="9">
        <v>-22578648.039999999</v>
      </c>
      <c r="AA29" s="9">
        <v>91739445.25999999</v>
      </c>
      <c r="AB29" s="9">
        <v>114318093.3</v>
      </c>
      <c r="AC29" s="9">
        <v>-23032049.100000001</v>
      </c>
      <c r="AD29" s="9">
        <v>91286044.199999988</v>
      </c>
      <c r="AE29" s="9">
        <v>114439453.09</v>
      </c>
      <c r="AF29" s="9">
        <v>-23487473.280000001</v>
      </c>
      <c r="AG29" s="9">
        <v>90951979.810000002</v>
      </c>
      <c r="AH29" s="9">
        <v>114439453.09</v>
      </c>
      <c r="AI29" s="9">
        <v>-23941885.640000001</v>
      </c>
      <c r="AJ29" s="9">
        <v>90497567.450000003</v>
      </c>
      <c r="AK29" s="9">
        <v>114439453.09</v>
      </c>
      <c r="AL29" s="9">
        <v>-24396298.460000001</v>
      </c>
      <c r="AM29" s="9">
        <v>90043154.629999995</v>
      </c>
      <c r="AN29" s="6">
        <v>115204715.95</v>
      </c>
      <c r="AO29" s="6">
        <v>-24871196.670000002</v>
      </c>
      <c r="AP29" s="9">
        <v>90333519.280000001</v>
      </c>
    </row>
    <row r="30" spans="1:42">
      <c r="A30" t="s">
        <v>100</v>
      </c>
      <c r="B30" t="s">
        <v>163</v>
      </c>
      <c r="C30" t="s">
        <v>167</v>
      </c>
      <c r="D30" s="6">
        <v>12661492.559999999</v>
      </c>
      <c r="E30" s="6">
        <v>-1549258.0699999987</v>
      </c>
      <c r="F30" s="9">
        <v>11112234.49</v>
      </c>
      <c r="G30" s="9">
        <v>12661492.559999999</v>
      </c>
      <c r="H30" s="9">
        <v>-1600856.6099999987</v>
      </c>
      <c r="I30" s="9">
        <v>11060635.949999999</v>
      </c>
      <c r="J30" s="9">
        <v>12661492.559999999</v>
      </c>
      <c r="K30" s="9">
        <v>-1652455.5099999986</v>
      </c>
      <c r="L30" s="9">
        <v>11009037.050000001</v>
      </c>
      <c r="M30" s="9">
        <v>12661492.559999999</v>
      </c>
      <c r="N30" s="9">
        <v>-1704054.0399999986</v>
      </c>
      <c r="O30" s="9">
        <v>10957438.52</v>
      </c>
      <c r="P30" s="9">
        <v>12661492.559999999</v>
      </c>
      <c r="Q30" s="9">
        <v>-1755653.2399999986</v>
      </c>
      <c r="R30" s="9">
        <v>10905839.32</v>
      </c>
      <c r="S30" s="9">
        <v>12661492.559999999</v>
      </c>
      <c r="T30" s="9">
        <v>-1807251.7699999986</v>
      </c>
      <c r="U30" s="9">
        <v>10854240.789999999</v>
      </c>
      <c r="V30" s="9">
        <v>12661492.559999999</v>
      </c>
      <c r="W30" s="9">
        <v>-1858850.9699999986</v>
      </c>
      <c r="X30" s="9">
        <v>10802641.59</v>
      </c>
      <c r="Y30" s="9">
        <v>12661492.559999999</v>
      </c>
      <c r="Z30" s="9">
        <v>-1910449.4999999986</v>
      </c>
      <c r="AA30" s="9">
        <v>10751043.060000001</v>
      </c>
      <c r="AB30" s="9">
        <v>12661492.559999999</v>
      </c>
      <c r="AC30" s="9">
        <v>-1962048.7299999986</v>
      </c>
      <c r="AD30" s="9">
        <v>10699443.83</v>
      </c>
      <c r="AE30" s="9">
        <v>12661492.559999999</v>
      </c>
      <c r="AF30" s="9">
        <v>-2013647.2499999986</v>
      </c>
      <c r="AG30" s="9">
        <v>10647845.310000001</v>
      </c>
      <c r="AH30" s="9">
        <v>12641492.559999999</v>
      </c>
      <c r="AI30" s="9">
        <v>-2046413.1399999985</v>
      </c>
      <c r="AJ30" s="9">
        <v>10595079.42</v>
      </c>
      <c r="AK30" s="9">
        <v>12641492.559999999</v>
      </c>
      <c r="AL30" s="9">
        <v>-2097928.3299999987</v>
      </c>
      <c r="AM30" s="9">
        <v>10543564.23</v>
      </c>
      <c r="AN30" s="6">
        <v>13595680.889999999</v>
      </c>
      <c r="AO30" s="6">
        <v>-2197153.6600000006</v>
      </c>
      <c r="AP30" s="9">
        <v>11398527.229999999</v>
      </c>
    </row>
    <row r="31" spans="1:42">
      <c r="A31" t="s">
        <v>101</v>
      </c>
      <c r="B31" t="s">
        <v>163</v>
      </c>
      <c r="C31" t="s">
        <v>167</v>
      </c>
      <c r="D31" s="6">
        <v>24003366.319999997</v>
      </c>
      <c r="E31" s="6">
        <v>-2016689.7499999995</v>
      </c>
      <c r="F31" s="9">
        <v>21986676.569999997</v>
      </c>
      <c r="G31" s="9">
        <v>24003366.319999997</v>
      </c>
      <c r="H31" s="9">
        <v>-2117650.2999999998</v>
      </c>
      <c r="I31" s="9">
        <v>21885716.019999996</v>
      </c>
      <c r="J31" s="9">
        <v>24003366.319999997</v>
      </c>
      <c r="K31" s="9">
        <v>-2218610.8600000003</v>
      </c>
      <c r="L31" s="9">
        <v>21784755.459999997</v>
      </c>
      <c r="M31" s="9">
        <v>24003366.319999997</v>
      </c>
      <c r="N31" s="9">
        <v>-2319571.4200000004</v>
      </c>
      <c r="O31" s="9">
        <v>21683794.899999995</v>
      </c>
      <c r="P31" s="9">
        <v>24003366.319999997</v>
      </c>
      <c r="Q31" s="9">
        <v>-2420531.9900000002</v>
      </c>
      <c r="R31" s="9">
        <v>21582834.329999998</v>
      </c>
      <c r="S31" s="9">
        <v>24003366.319999997</v>
      </c>
      <c r="T31" s="9">
        <v>-2521492.4400000004</v>
      </c>
      <c r="U31" s="9">
        <v>21481873.879999995</v>
      </c>
      <c r="V31" s="9">
        <v>24003366.319999997</v>
      </c>
      <c r="W31" s="9">
        <v>-2622453.2400000002</v>
      </c>
      <c r="X31" s="9">
        <v>21380913.079999998</v>
      </c>
      <c r="Y31" s="9">
        <v>24003366.319999997</v>
      </c>
      <c r="Z31" s="9">
        <v>-2723413.6900000004</v>
      </c>
      <c r="AA31" s="9">
        <v>21279952.629999995</v>
      </c>
      <c r="AB31" s="9">
        <v>24003366.319999997</v>
      </c>
      <c r="AC31" s="9">
        <v>-2824374.4400000004</v>
      </c>
      <c r="AD31" s="9">
        <v>21178991.879999995</v>
      </c>
      <c r="AE31" s="9">
        <v>24059045.189999998</v>
      </c>
      <c r="AF31" s="9">
        <v>-2927809.5100000002</v>
      </c>
      <c r="AG31" s="9">
        <v>21131235.679999996</v>
      </c>
      <c r="AH31" s="9">
        <v>24059045.189999998</v>
      </c>
      <c r="AI31" s="9">
        <v>-3029079.58</v>
      </c>
      <c r="AJ31" s="9">
        <v>21029965.609999999</v>
      </c>
      <c r="AK31" s="9">
        <v>24059045.189999998</v>
      </c>
      <c r="AL31" s="9">
        <v>-3130349.34</v>
      </c>
      <c r="AM31" s="9">
        <v>20928695.849999998</v>
      </c>
      <c r="AN31" s="6">
        <v>23940746.949999999</v>
      </c>
      <c r="AO31" s="6">
        <v>-3127376.27</v>
      </c>
      <c r="AP31" s="9">
        <v>20813370.68</v>
      </c>
    </row>
    <row r="32" spans="1:42">
      <c r="A32" t="s">
        <v>102</v>
      </c>
      <c r="B32" t="s">
        <v>163</v>
      </c>
      <c r="C32" t="s">
        <v>202</v>
      </c>
      <c r="D32" s="6">
        <v>15089020.779999999</v>
      </c>
      <c r="E32" s="6">
        <v>0</v>
      </c>
      <c r="F32" s="9">
        <v>15089020.779999999</v>
      </c>
      <c r="G32" s="9">
        <v>15089020.779999999</v>
      </c>
      <c r="H32" s="9">
        <v>0</v>
      </c>
      <c r="I32" s="9">
        <v>15089020.779999999</v>
      </c>
      <c r="J32" s="9">
        <v>15089020.779999999</v>
      </c>
      <c r="K32" s="9">
        <v>0</v>
      </c>
      <c r="L32" s="9">
        <v>15089020.779999999</v>
      </c>
      <c r="M32" s="9">
        <v>15089020.779999999</v>
      </c>
      <c r="N32" s="9">
        <v>0</v>
      </c>
      <c r="O32" s="9">
        <v>15089020.779999999</v>
      </c>
      <c r="P32" s="9">
        <v>15089020.779999999</v>
      </c>
      <c r="Q32" s="9">
        <v>0</v>
      </c>
      <c r="R32" s="9">
        <v>15089020.779999999</v>
      </c>
      <c r="S32" s="9">
        <v>15089020.779999999</v>
      </c>
      <c r="T32" s="9">
        <v>0</v>
      </c>
      <c r="U32" s="9">
        <v>15089020.779999999</v>
      </c>
      <c r="V32" s="9">
        <v>15089020.779999999</v>
      </c>
      <c r="W32" s="9">
        <v>0</v>
      </c>
      <c r="X32" s="9">
        <v>15089020.779999999</v>
      </c>
      <c r="Y32" s="9">
        <v>15089020.779999999</v>
      </c>
      <c r="Z32" s="9">
        <v>0</v>
      </c>
      <c r="AA32" s="9">
        <v>15089020.779999999</v>
      </c>
      <c r="AB32" s="9">
        <v>15089020.779999999</v>
      </c>
      <c r="AC32" s="9">
        <v>0</v>
      </c>
      <c r="AD32" s="9">
        <v>15089020.779999999</v>
      </c>
      <c r="AE32" s="9">
        <v>15089020.779999999</v>
      </c>
      <c r="AF32" s="9">
        <v>0</v>
      </c>
      <c r="AG32" s="9">
        <v>15089020.779999999</v>
      </c>
      <c r="AH32" s="9">
        <v>15089020.779999999</v>
      </c>
      <c r="AI32" s="9">
        <v>0</v>
      </c>
      <c r="AJ32" s="9">
        <v>15089020.779999999</v>
      </c>
      <c r="AK32" s="9">
        <v>15089020.779999999</v>
      </c>
      <c r="AL32" s="9">
        <v>0</v>
      </c>
      <c r="AM32" s="9">
        <v>15089020.779999999</v>
      </c>
      <c r="AN32" s="6">
        <v>15089020.779999999</v>
      </c>
      <c r="AO32" s="6">
        <v>0</v>
      </c>
      <c r="AP32" s="9">
        <v>15089020.779999999</v>
      </c>
    </row>
    <row r="33" spans="1:42">
      <c r="A33" t="s">
        <v>103</v>
      </c>
      <c r="B33" t="s">
        <v>163</v>
      </c>
      <c r="C33" t="s">
        <v>202</v>
      </c>
      <c r="D33" s="6">
        <v>36418231.189999998</v>
      </c>
      <c r="E33" s="6">
        <v>-4200095.72</v>
      </c>
      <c r="F33" s="9">
        <v>32218135.469999999</v>
      </c>
      <c r="G33" s="9">
        <v>36418231.189999998</v>
      </c>
      <c r="H33" s="9">
        <v>-4269594.74</v>
      </c>
      <c r="I33" s="9">
        <v>32148636.449999996</v>
      </c>
      <c r="J33" s="9">
        <v>36418231.189999998</v>
      </c>
      <c r="K33" s="9">
        <v>-4339093.75</v>
      </c>
      <c r="L33" s="9">
        <v>32079137.439999998</v>
      </c>
      <c r="M33" s="9">
        <v>36418231.189999998</v>
      </c>
      <c r="N33" s="9">
        <v>-4408592.75</v>
      </c>
      <c r="O33" s="9">
        <v>32009638.439999998</v>
      </c>
      <c r="P33" s="9">
        <v>36418231.189999998</v>
      </c>
      <c r="Q33" s="9">
        <v>-4478091.78</v>
      </c>
      <c r="R33" s="9">
        <v>31940139.409999996</v>
      </c>
      <c r="S33" s="9">
        <v>36418231.189999998</v>
      </c>
      <c r="T33" s="9">
        <v>-4547590.8000000007</v>
      </c>
      <c r="U33" s="9">
        <v>31870640.389999997</v>
      </c>
      <c r="V33" s="9">
        <v>36418231.189999998</v>
      </c>
      <c r="W33" s="9">
        <v>-4617089.8500000006</v>
      </c>
      <c r="X33" s="9">
        <v>31801141.339999996</v>
      </c>
      <c r="Y33" s="9">
        <v>36418231.189999998</v>
      </c>
      <c r="Z33" s="9">
        <v>-4686588.9000000013</v>
      </c>
      <c r="AA33" s="9">
        <v>31731642.289999995</v>
      </c>
      <c r="AB33" s="9">
        <v>36418231.189999998</v>
      </c>
      <c r="AC33" s="9">
        <v>-4756087.9500000011</v>
      </c>
      <c r="AD33" s="9">
        <v>31662143.239999995</v>
      </c>
      <c r="AE33" s="9">
        <v>36418231.189999998</v>
      </c>
      <c r="AF33" s="9">
        <v>-4825586.9800000014</v>
      </c>
      <c r="AG33" s="9">
        <v>31592644.209999997</v>
      </c>
      <c r="AH33" s="9">
        <v>36418231.189999998</v>
      </c>
      <c r="AI33" s="9">
        <v>-4895086.040000001</v>
      </c>
      <c r="AJ33" s="9">
        <v>31523145.149999999</v>
      </c>
      <c r="AK33" s="9">
        <v>36418231.189999998</v>
      </c>
      <c r="AL33" s="9">
        <v>-4964585.080000001</v>
      </c>
      <c r="AM33" s="9">
        <v>31453646.109999996</v>
      </c>
      <c r="AN33" s="6">
        <v>122986122.70999998</v>
      </c>
      <c r="AO33" s="6">
        <v>-5161889.5700000012</v>
      </c>
      <c r="AP33" s="9">
        <v>117824233.13999997</v>
      </c>
    </row>
    <row r="34" spans="1:42">
      <c r="A34" t="s">
        <v>106</v>
      </c>
      <c r="B34" t="s">
        <v>163</v>
      </c>
      <c r="C34" t="s">
        <v>202</v>
      </c>
      <c r="D34" s="6">
        <v>129562763.89</v>
      </c>
      <c r="E34" s="6">
        <v>-59109713.639999993</v>
      </c>
      <c r="F34" s="9">
        <v>70453050.25</v>
      </c>
      <c r="G34" s="9">
        <v>129562763.89</v>
      </c>
      <c r="H34" s="9">
        <v>-59414192.36999999</v>
      </c>
      <c r="I34" s="9">
        <v>70148571.520000011</v>
      </c>
      <c r="J34" s="9">
        <v>129562763.89</v>
      </c>
      <c r="K34" s="9">
        <v>-59718671.209999993</v>
      </c>
      <c r="L34" s="9">
        <v>69844092.680000007</v>
      </c>
      <c r="M34" s="9">
        <v>129562763.89</v>
      </c>
      <c r="N34" s="9">
        <v>-60023149.909999989</v>
      </c>
      <c r="O34" s="9">
        <v>69539613.980000019</v>
      </c>
      <c r="P34" s="9">
        <v>129562763.89</v>
      </c>
      <c r="Q34" s="9">
        <v>-60327628.749999993</v>
      </c>
      <c r="R34" s="9">
        <v>69235135.140000015</v>
      </c>
      <c r="S34" s="9">
        <v>129562763.89</v>
      </c>
      <c r="T34" s="9">
        <v>-60632107.409999989</v>
      </c>
      <c r="U34" s="9">
        <v>68930656.480000019</v>
      </c>
      <c r="V34" s="9">
        <v>129562763.89</v>
      </c>
      <c r="W34" s="9">
        <v>-60936586.25999999</v>
      </c>
      <c r="X34" s="9">
        <v>68626177.63000001</v>
      </c>
      <c r="Y34" s="9">
        <v>129562763.89</v>
      </c>
      <c r="Z34" s="9">
        <v>-61232197.129999988</v>
      </c>
      <c r="AA34" s="9">
        <v>68330566.76000002</v>
      </c>
      <c r="AB34" s="9">
        <v>129562763.89</v>
      </c>
      <c r="AC34" s="9">
        <v>-61527808.409999989</v>
      </c>
      <c r="AD34" s="9">
        <v>68034955.480000019</v>
      </c>
      <c r="AE34" s="9">
        <v>129562763.89</v>
      </c>
      <c r="AF34" s="9">
        <v>-61823419.339999989</v>
      </c>
      <c r="AG34" s="9">
        <v>67739344.550000012</v>
      </c>
      <c r="AH34" s="9">
        <v>129562763.89</v>
      </c>
      <c r="AI34" s="9">
        <v>-62119030.609999992</v>
      </c>
      <c r="AJ34" s="9">
        <v>67443733.280000001</v>
      </c>
      <c r="AK34" s="9">
        <v>129562763.89</v>
      </c>
      <c r="AL34" s="9">
        <v>-62414641.539999992</v>
      </c>
      <c r="AM34" s="9">
        <v>67148122.350000009</v>
      </c>
      <c r="AN34" s="6">
        <v>136246430.38999999</v>
      </c>
      <c r="AO34" s="6">
        <v>-62865031.629999988</v>
      </c>
      <c r="AP34" s="9">
        <v>73381398.75999999</v>
      </c>
    </row>
    <row r="35" spans="1:42">
      <c r="A35" t="s">
        <v>107</v>
      </c>
      <c r="B35" t="s">
        <v>163</v>
      </c>
      <c r="C35" t="s">
        <v>202</v>
      </c>
      <c r="D35" s="6">
        <v>5374260.5599999996</v>
      </c>
      <c r="E35" s="6">
        <v>-3520882.51</v>
      </c>
      <c r="F35" s="9">
        <v>1853378.0499999998</v>
      </c>
      <c r="G35" s="9">
        <v>5374260.5599999996</v>
      </c>
      <c r="H35" s="9">
        <v>-3541957.11</v>
      </c>
      <c r="I35" s="9">
        <v>1832303.4499999997</v>
      </c>
      <c r="J35" s="9">
        <v>5374260.5599999996</v>
      </c>
      <c r="K35" s="9">
        <v>-3563031.6999999997</v>
      </c>
      <c r="L35" s="9">
        <v>1811228.8599999999</v>
      </c>
      <c r="M35" s="9">
        <v>5374260.5599999996</v>
      </c>
      <c r="N35" s="9">
        <v>-3584106.3299999996</v>
      </c>
      <c r="O35" s="9">
        <v>1790154.23</v>
      </c>
      <c r="P35" s="9">
        <v>5374260.5599999996</v>
      </c>
      <c r="Q35" s="9">
        <v>-3605180.94</v>
      </c>
      <c r="R35" s="9">
        <v>1769079.6199999996</v>
      </c>
      <c r="S35" s="9">
        <v>5374260.5599999996</v>
      </c>
      <c r="T35" s="9">
        <v>-3626255.5599999996</v>
      </c>
      <c r="U35" s="9">
        <v>1748005</v>
      </c>
      <c r="V35" s="9">
        <v>5374260.5599999996</v>
      </c>
      <c r="W35" s="9">
        <v>-3647330.1799999997</v>
      </c>
      <c r="X35" s="9">
        <v>1726930.38</v>
      </c>
      <c r="Y35" s="9">
        <v>5374260.5599999996</v>
      </c>
      <c r="Z35" s="9">
        <v>-3668404.8299999996</v>
      </c>
      <c r="AA35" s="9">
        <v>1705855.73</v>
      </c>
      <c r="AB35" s="9">
        <v>5374260.5599999996</v>
      </c>
      <c r="AC35" s="9">
        <v>-3689479.4499999997</v>
      </c>
      <c r="AD35" s="9">
        <v>1684781.1099999999</v>
      </c>
      <c r="AE35" s="9">
        <v>5374260.5599999996</v>
      </c>
      <c r="AF35" s="9">
        <v>-3710554.11</v>
      </c>
      <c r="AG35" s="9">
        <v>1663706.4499999997</v>
      </c>
      <c r="AH35" s="9">
        <v>5374260.5599999996</v>
      </c>
      <c r="AI35" s="9">
        <v>-3731628.73</v>
      </c>
      <c r="AJ35" s="9">
        <v>1642631.8299999996</v>
      </c>
      <c r="AK35" s="9">
        <v>5374260.5599999996</v>
      </c>
      <c r="AL35" s="9">
        <v>-3752703.4</v>
      </c>
      <c r="AM35" s="9">
        <v>1621557.1599999997</v>
      </c>
      <c r="AN35" s="6">
        <v>6148547.2999999998</v>
      </c>
      <c r="AO35" s="6">
        <v>-3773778.02</v>
      </c>
      <c r="AP35" s="9">
        <v>2374769.2799999998</v>
      </c>
    </row>
    <row r="36" spans="1:42">
      <c r="A36" t="s">
        <v>108</v>
      </c>
      <c r="B36" t="s">
        <v>163</v>
      </c>
      <c r="C36" t="s">
        <v>202</v>
      </c>
      <c r="D36" s="6">
        <v>26156420.02</v>
      </c>
      <c r="E36" s="6">
        <v>-21475275.949999996</v>
      </c>
      <c r="F36" s="9">
        <v>4681144.070000004</v>
      </c>
      <c r="G36" s="9">
        <v>26156420.02</v>
      </c>
      <c r="H36" s="9">
        <v>-21499334.949999996</v>
      </c>
      <c r="I36" s="9">
        <v>4657085.070000004</v>
      </c>
      <c r="J36" s="9">
        <v>26156420.02</v>
      </c>
      <c r="K36" s="9">
        <v>-21523393.959999997</v>
      </c>
      <c r="L36" s="9">
        <v>4633026.0600000024</v>
      </c>
      <c r="M36" s="9">
        <v>26156420.02</v>
      </c>
      <c r="N36" s="9">
        <v>-21547452.959999997</v>
      </c>
      <c r="O36" s="9">
        <v>4608967.0600000024</v>
      </c>
      <c r="P36" s="9">
        <v>26156420.02</v>
      </c>
      <c r="Q36" s="9">
        <v>-21571511.989999995</v>
      </c>
      <c r="R36" s="9">
        <v>4584908.0300000049</v>
      </c>
      <c r="S36" s="9">
        <v>26156420.02</v>
      </c>
      <c r="T36" s="9">
        <v>-21595570.989999995</v>
      </c>
      <c r="U36" s="9">
        <v>4560849.0300000049</v>
      </c>
      <c r="V36" s="9">
        <v>26156420.02</v>
      </c>
      <c r="W36" s="9">
        <v>-21619630.029999997</v>
      </c>
      <c r="X36" s="9">
        <v>4536789.9900000021</v>
      </c>
      <c r="Y36" s="9">
        <v>26156420.02</v>
      </c>
      <c r="Z36" s="9">
        <v>-21643689.019999996</v>
      </c>
      <c r="AA36" s="9">
        <v>4512731.0000000037</v>
      </c>
      <c r="AB36" s="9">
        <v>26156420.02</v>
      </c>
      <c r="AC36" s="9">
        <v>-21667748.059999995</v>
      </c>
      <c r="AD36" s="9">
        <v>4488671.9600000046</v>
      </c>
      <c r="AE36" s="9">
        <v>26156420.02</v>
      </c>
      <c r="AF36" s="9">
        <v>-21691807.039999995</v>
      </c>
      <c r="AG36" s="9">
        <v>4464612.9800000042</v>
      </c>
      <c r="AH36" s="9">
        <v>26156420.02</v>
      </c>
      <c r="AI36" s="9">
        <v>-21715866.069999997</v>
      </c>
      <c r="AJ36" s="9">
        <v>4440553.950000003</v>
      </c>
      <c r="AK36" s="9">
        <v>26156420.02</v>
      </c>
      <c r="AL36" s="9">
        <v>-21739925.039999995</v>
      </c>
      <c r="AM36" s="9">
        <v>4416494.9800000042</v>
      </c>
      <c r="AN36" s="6">
        <v>26444675.719999999</v>
      </c>
      <c r="AO36" s="6">
        <v>-21794602.049999997</v>
      </c>
      <c r="AP36" s="9">
        <v>4650073.6700000018</v>
      </c>
    </row>
    <row r="37" spans="1:42">
      <c r="A37" t="s">
        <v>109</v>
      </c>
      <c r="B37" t="s">
        <v>163</v>
      </c>
      <c r="C37" t="s">
        <v>202</v>
      </c>
      <c r="D37" s="6">
        <v>11328775.960000001</v>
      </c>
      <c r="E37" s="6">
        <v>-6898131.5199999977</v>
      </c>
      <c r="F37" s="9">
        <v>4430644.4400000032</v>
      </c>
      <c r="G37" s="9">
        <v>11328775.960000001</v>
      </c>
      <c r="H37" s="9">
        <v>-6920669.3099999977</v>
      </c>
      <c r="I37" s="9">
        <v>4408106.6500000032</v>
      </c>
      <c r="J37" s="9">
        <v>11328775.960000001</v>
      </c>
      <c r="K37" s="9">
        <v>-6943207.0999999978</v>
      </c>
      <c r="L37" s="9">
        <v>4385568.8600000031</v>
      </c>
      <c r="M37" s="9">
        <v>11328775.960000001</v>
      </c>
      <c r="N37" s="9">
        <v>-6965744.8899999978</v>
      </c>
      <c r="O37" s="9">
        <v>4363031.0700000031</v>
      </c>
      <c r="P37" s="9">
        <v>11328775.960000001</v>
      </c>
      <c r="Q37" s="9">
        <v>-6988282.6599999983</v>
      </c>
      <c r="R37" s="9">
        <v>4340493.3000000026</v>
      </c>
      <c r="S37" s="9">
        <v>11328775.960000001</v>
      </c>
      <c r="T37" s="9">
        <v>-7010820.4699999979</v>
      </c>
      <c r="U37" s="9">
        <v>4317955.490000003</v>
      </c>
      <c r="V37" s="9">
        <v>11328775.960000001</v>
      </c>
      <c r="W37" s="9">
        <v>-7033358.2299999977</v>
      </c>
      <c r="X37" s="9">
        <v>4295417.7300000032</v>
      </c>
      <c r="Y37" s="9">
        <v>11328775.960000001</v>
      </c>
      <c r="Z37" s="9">
        <v>-7055863.299999998</v>
      </c>
      <c r="AA37" s="9">
        <v>4272912.6600000029</v>
      </c>
      <c r="AB37" s="9">
        <v>11328775.960000001</v>
      </c>
      <c r="AC37" s="9">
        <v>-7078368.3299999982</v>
      </c>
      <c r="AD37" s="9">
        <v>4250407.6300000027</v>
      </c>
      <c r="AE37" s="9">
        <v>11328775.960000001</v>
      </c>
      <c r="AF37" s="9">
        <v>-7100873.4099999983</v>
      </c>
      <c r="AG37" s="9">
        <v>4227902.5500000026</v>
      </c>
      <c r="AH37" s="9">
        <v>11328775.960000001</v>
      </c>
      <c r="AI37" s="9">
        <v>-7123378.4499999983</v>
      </c>
      <c r="AJ37" s="9">
        <v>4205397.5100000026</v>
      </c>
      <c r="AK37" s="9">
        <v>11328775.960000001</v>
      </c>
      <c r="AL37" s="9">
        <v>-7145883.5399999982</v>
      </c>
      <c r="AM37" s="9">
        <v>4182892.4200000027</v>
      </c>
      <c r="AN37" s="6">
        <v>11371768.260000002</v>
      </c>
      <c r="AO37" s="6">
        <v>-7168388.589999998</v>
      </c>
      <c r="AP37" s="9">
        <v>4203379.6700000037</v>
      </c>
    </row>
    <row r="38" spans="1:42">
      <c r="A38" t="s">
        <v>110</v>
      </c>
      <c r="B38" t="s">
        <v>163</v>
      </c>
      <c r="C38" t="s">
        <v>202</v>
      </c>
      <c r="D38" s="6">
        <v>22764649.190000001</v>
      </c>
      <c r="E38" s="6">
        <v>-14871840</v>
      </c>
      <c r="F38" s="9">
        <v>7892809.1900000013</v>
      </c>
      <c r="G38" s="9">
        <v>22764649.190000001</v>
      </c>
      <c r="H38" s="9">
        <v>-14937377.399999999</v>
      </c>
      <c r="I38" s="9">
        <v>7827271.7900000028</v>
      </c>
      <c r="J38" s="9">
        <v>22764649.190000001</v>
      </c>
      <c r="K38" s="9">
        <v>-15002914.799999999</v>
      </c>
      <c r="L38" s="9">
        <v>7761734.3900000025</v>
      </c>
      <c r="M38" s="9">
        <v>22764649.190000001</v>
      </c>
      <c r="N38" s="9">
        <v>-15068452.199999999</v>
      </c>
      <c r="O38" s="9">
        <v>7696196.9900000021</v>
      </c>
      <c r="P38" s="9">
        <v>22764649.190000001</v>
      </c>
      <c r="Q38" s="9">
        <v>-15133989.59</v>
      </c>
      <c r="R38" s="9">
        <v>7630659.6000000015</v>
      </c>
      <c r="S38" s="9">
        <v>22764649.190000001</v>
      </c>
      <c r="T38" s="9">
        <v>-15199527</v>
      </c>
      <c r="U38" s="9">
        <v>7565122.1900000013</v>
      </c>
      <c r="V38" s="9">
        <v>22764649.190000001</v>
      </c>
      <c r="W38" s="9">
        <v>-15265064.399999999</v>
      </c>
      <c r="X38" s="9">
        <v>7499584.7900000028</v>
      </c>
      <c r="Y38" s="9">
        <v>22764649.190000001</v>
      </c>
      <c r="Z38" s="9">
        <v>-15330601.809999999</v>
      </c>
      <c r="AA38" s="9">
        <v>7434047.3800000027</v>
      </c>
      <c r="AB38" s="9">
        <v>22764649.190000001</v>
      </c>
      <c r="AC38" s="9">
        <v>-15396139.219999999</v>
      </c>
      <c r="AD38" s="9">
        <v>7368509.9700000025</v>
      </c>
      <c r="AE38" s="9">
        <v>22764649.190000001</v>
      </c>
      <c r="AF38" s="9">
        <v>-15461676.619999999</v>
      </c>
      <c r="AG38" s="9">
        <v>7302972.5700000022</v>
      </c>
      <c r="AH38" s="9">
        <v>22764649.190000001</v>
      </c>
      <c r="AI38" s="9">
        <v>-15527214.049999999</v>
      </c>
      <c r="AJ38" s="9">
        <v>7237435.1400000025</v>
      </c>
      <c r="AK38" s="9">
        <v>22764649.190000001</v>
      </c>
      <c r="AL38" s="9">
        <v>-15592751.459999999</v>
      </c>
      <c r="AM38" s="9">
        <v>7171897.7300000023</v>
      </c>
      <c r="AN38" s="6">
        <v>22764649.190000001</v>
      </c>
      <c r="AO38" s="6">
        <v>-15658288.899999999</v>
      </c>
      <c r="AP38" s="9">
        <v>7106360.2900000028</v>
      </c>
    </row>
    <row r="39" spans="1:42">
      <c r="A39" t="s">
        <v>111</v>
      </c>
      <c r="B39" t="s">
        <v>163</v>
      </c>
      <c r="C39" t="s">
        <v>202</v>
      </c>
      <c r="D39" s="6">
        <v>12268816.18</v>
      </c>
      <c r="E39" s="6">
        <v>-10554218.349999998</v>
      </c>
      <c r="F39" s="9">
        <v>1714597.8300000019</v>
      </c>
      <c r="G39" s="9">
        <v>12268816.18</v>
      </c>
      <c r="H39" s="9">
        <v>-10582567.399999997</v>
      </c>
      <c r="I39" s="9">
        <v>1686248.7800000031</v>
      </c>
      <c r="J39" s="9">
        <v>12268816.18</v>
      </c>
      <c r="K39" s="9">
        <v>-10610916.439999998</v>
      </c>
      <c r="L39" s="9">
        <v>1657899.7400000021</v>
      </c>
      <c r="M39" s="9">
        <v>12268816.18</v>
      </c>
      <c r="N39" s="9">
        <v>-10639265.509999998</v>
      </c>
      <c r="O39" s="9">
        <v>1629550.6700000018</v>
      </c>
      <c r="P39" s="9">
        <v>12268816.18</v>
      </c>
      <c r="Q39" s="9">
        <v>-10667614.569999997</v>
      </c>
      <c r="R39" s="9">
        <v>1601201.6100000031</v>
      </c>
      <c r="S39" s="9">
        <v>12268816.18</v>
      </c>
      <c r="T39" s="9">
        <v>-10695963.619999997</v>
      </c>
      <c r="U39" s="9">
        <v>1572852.5600000024</v>
      </c>
      <c r="V39" s="9">
        <v>12268816.18</v>
      </c>
      <c r="W39" s="9">
        <v>-10724312.679999998</v>
      </c>
      <c r="X39" s="9">
        <v>1544503.5000000019</v>
      </c>
      <c r="Y39" s="9">
        <v>12268816.18</v>
      </c>
      <c r="Z39" s="9">
        <v>-10752661.729999997</v>
      </c>
      <c r="AA39" s="9">
        <v>1516154.450000003</v>
      </c>
      <c r="AB39" s="9">
        <v>12268816.18</v>
      </c>
      <c r="AC39" s="9">
        <v>-10781010.779999997</v>
      </c>
      <c r="AD39" s="9">
        <v>1487805.4000000022</v>
      </c>
      <c r="AE39" s="9">
        <v>12268816.18</v>
      </c>
      <c r="AF39" s="9">
        <v>-10809359.839999998</v>
      </c>
      <c r="AG39" s="9">
        <v>1459456.3400000017</v>
      </c>
      <c r="AH39" s="9">
        <v>12268816.18</v>
      </c>
      <c r="AI39" s="9">
        <v>-10837708.909999998</v>
      </c>
      <c r="AJ39" s="9">
        <v>1431107.2700000014</v>
      </c>
      <c r="AK39" s="9">
        <v>12268816.18</v>
      </c>
      <c r="AL39" s="9">
        <v>-10866057.979999997</v>
      </c>
      <c r="AM39" s="9">
        <v>1402758.200000003</v>
      </c>
      <c r="AN39" s="6">
        <v>12268816.18</v>
      </c>
      <c r="AO39" s="6">
        <v>-10894407.049999997</v>
      </c>
      <c r="AP39" s="9">
        <v>1374409.1300000027</v>
      </c>
    </row>
    <row r="40" spans="1:42">
      <c r="A40" t="s">
        <v>112</v>
      </c>
      <c r="B40" t="s">
        <v>163</v>
      </c>
      <c r="C40" t="s">
        <v>202</v>
      </c>
      <c r="D40" s="6">
        <v>23857.22</v>
      </c>
      <c r="E40" s="6">
        <v>-23456.719999999979</v>
      </c>
      <c r="F40" s="9">
        <v>400.50000000002183</v>
      </c>
      <c r="G40" s="9">
        <v>23857.22</v>
      </c>
      <c r="H40" s="9">
        <v>-23466.339999999978</v>
      </c>
      <c r="I40" s="9">
        <v>390.88000000002285</v>
      </c>
      <c r="J40" s="9">
        <v>23857.22</v>
      </c>
      <c r="K40" s="9">
        <v>-23475.959999999977</v>
      </c>
      <c r="L40" s="9">
        <v>381.26000000002387</v>
      </c>
      <c r="M40" s="9">
        <v>23857.22</v>
      </c>
      <c r="N40" s="9">
        <v>-23485.57999999998</v>
      </c>
      <c r="O40" s="9">
        <v>371.64000000002125</v>
      </c>
      <c r="P40" s="9">
        <v>23857.22</v>
      </c>
      <c r="Q40" s="9">
        <v>-23495.199999999979</v>
      </c>
      <c r="R40" s="9">
        <v>362.02000000002226</v>
      </c>
      <c r="S40" s="9">
        <v>23857.22</v>
      </c>
      <c r="T40" s="9">
        <v>-23504.819999999978</v>
      </c>
      <c r="U40" s="9">
        <v>352.40000000002328</v>
      </c>
      <c r="V40" s="9">
        <v>23857.22</v>
      </c>
      <c r="W40" s="9">
        <v>-23514.429999999978</v>
      </c>
      <c r="X40" s="9">
        <v>342.7900000000227</v>
      </c>
      <c r="Y40" s="9">
        <v>23857.22</v>
      </c>
      <c r="Z40" s="9">
        <v>-23523.939999999977</v>
      </c>
      <c r="AA40" s="9">
        <v>333.2800000000243</v>
      </c>
      <c r="AB40" s="9">
        <v>23857.22</v>
      </c>
      <c r="AC40" s="9">
        <v>-23533.449999999979</v>
      </c>
      <c r="AD40" s="9">
        <v>323.77000000002226</v>
      </c>
      <c r="AE40" s="9">
        <v>23857.22</v>
      </c>
      <c r="AF40" s="9">
        <v>-23542.959999999977</v>
      </c>
      <c r="AG40" s="9">
        <v>314.26000000002387</v>
      </c>
      <c r="AH40" s="9">
        <v>23857.22</v>
      </c>
      <c r="AI40" s="9">
        <v>-23552.459999999977</v>
      </c>
      <c r="AJ40" s="9">
        <v>304.76000000002387</v>
      </c>
      <c r="AK40" s="9">
        <v>23857.22</v>
      </c>
      <c r="AL40" s="9">
        <v>-23561.969999999979</v>
      </c>
      <c r="AM40" s="9">
        <v>295.25000000002183</v>
      </c>
      <c r="AN40" s="6">
        <v>23857.22</v>
      </c>
      <c r="AO40" s="6">
        <v>-23571.479999999978</v>
      </c>
      <c r="AP40" s="9">
        <v>285.74000000002343</v>
      </c>
    </row>
    <row r="41" spans="1:42">
      <c r="A41" t="s">
        <v>113</v>
      </c>
      <c r="B41" t="s">
        <v>163</v>
      </c>
      <c r="C41" t="s">
        <v>217</v>
      </c>
      <c r="D41" s="6">
        <v>3428458.71</v>
      </c>
      <c r="E41" s="6">
        <v>0</v>
      </c>
      <c r="F41" s="9">
        <v>3428458.71</v>
      </c>
      <c r="G41" s="9">
        <v>3428458.71</v>
      </c>
      <c r="H41" s="9">
        <v>0</v>
      </c>
      <c r="I41" s="9">
        <v>3428458.71</v>
      </c>
      <c r="J41" s="9">
        <v>3428458.71</v>
      </c>
      <c r="K41" s="9">
        <v>0</v>
      </c>
      <c r="L41" s="9">
        <v>3428458.71</v>
      </c>
      <c r="M41" s="9">
        <v>3428458.71</v>
      </c>
      <c r="N41" s="9">
        <v>0</v>
      </c>
      <c r="O41" s="9">
        <v>3428458.71</v>
      </c>
      <c r="P41" s="9">
        <v>3428458.71</v>
      </c>
      <c r="Q41" s="9">
        <v>0</v>
      </c>
      <c r="R41" s="9">
        <v>3428458.71</v>
      </c>
      <c r="S41" s="9">
        <v>3428458.71</v>
      </c>
      <c r="T41" s="9">
        <v>0</v>
      </c>
      <c r="U41" s="9">
        <v>3428458.71</v>
      </c>
      <c r="V41" s="9">
        <v>3428458.71</v>
      </c>
      <c r="W41" s="9">
        <v>0</v>
      </c>
      <c r="X41" s="9">
        <v>3428458.71</v>
      </c>
      <c r="Y41" s="9">
        <v>3428458.71</v>
      </c>
      <c r="Z41" s="9">
        <v>0</v>
      </c>
      <c r="AA41" s="9">
        <v>3428458.71</v>
      </c>
      <c r="AB41" s="9">
        <v>3428458.71</v>
      </c>
      <c r="AC41" s="9">
        <v>0</v>
      </c>
      <c r="AD41" s="9">
        <v>3428458.71</v>
      </c>
      <c r="AE41" s="9">
        <v>3428458.71</v>
      </c>
      <c r="AF41" s="9">
        <v>0</v>
      </c>
      <c r="AG41" s="9">
        <v>3428458.71</v>
      </c>
      <c r="AH41" s="9">
        <v>3428458.71</v>
      </c>
      <c r="AI41" s="9">
        <v>0</v>
      </c>
      <c r="AJ41" s="9">
        <v>3428458.71</v>
      </c>
      <c r="AK41" s="9">
        <v>3428458.71</v>
      </c>
      <c r="AL41" s="9">
        <v>0</v>
      </c>
      <c r="AM41" s="9">
        <v>3428458.71</v>
      </c>
      <c r="AN41" s="6">
        <v>3428458.71</v>
      </c>
      <c r="AO41" s="6">
        <v>0</v>
      </c>
      <c r="AP41" s="9">
        <v>3428458.71</v>
      </c>
    </row>
    <row r="42" spans="1:42">
      <c r="A42" t="s">
        <v>114</v>
      </c>
      <c r="B42" t="s">
        <v>163</v>
      </c>
      <c r="C42" t="s">
        <v>217</v>
      </c>
      <c r="D42" s="6">
        <v>30802959.599999998</v>
      </c>
      <c r="E42" s="6">
        <v>-18019406.84</v>
      </c>
      <c r="F42" s="9">
        <v>12783552.759999998</v>
      </c>
      <c r="G42" s="9">
        <v>30802959.599999998</v>
      </c>
      <c r="H42" s="9">
        <v>-18077499.390000001</v>
      </c>
      <c r="I42" s="9">
        <v>12725460.209999997</v>
      </c>
      <c r="J42" s="9">
        <v>30802959.599999998</v>
      </c>
      <c r="K42" s="9">
        <v>-18135591.93</v>
      </c>
      <c r="L42" s="9">
        <v>12667367.669999998</v>
      </c>
      <c r="M42" s="9">
        <v>30802959.599999998</v>
      </c>
      <c r="N42" s="9">
        <v>-18193684.48</v>
      </c>
      <c r="O42" s="9">
        <v>12609275.119999997</v>
      </c>
      <c r="P42" s="9">
        <v>30802959.599999998</v>
      </c>
      <c r="Q42" s="9">
        <v>-18251777.030000001</v>
      </c>
      <c r="R42" s="9">
        <v>12551182.569999997</v>
      </c>
      <c r="S42" s="9">
        <v>30802959.599999998</v>
      </c>
      <c r="T42" s="9">
        <v>-18309869.580000002</v>
      </c>
      <c r="U42" s="9">
        <v>12493090.019999996</v>
      </c>
      <c r="V42" s="9">
        <v>30802959.599999998</v>
      </c>
      <c r="W42" s="9">
        <v>-18367962.129999999</v>
      </c>
      <c r="X42" s="9">
        <v>12434997.469999999</v>
      </c>
      <c r="Y42" s="9">
        <v>30802959.599999998</v>
      </c>
      <c r="Z42" s="9">
        <v>-18425331.629999999</v>
      </c>
      <c r="AA42" s="9">
        <v>12377627.969999999</v>
      </c>
      <c r="AB42" s="9">
        <v>30802959.599999998</v>
      </c>
      <c r="AC42" s="9">
        <v>-18482701.100000001</v>
      </c>
      <c r="AD42" s="9">
        <v>12320258.499999996</v>
      </c>
      <c r="AE42" s="9">
        <v>30802959.599999998</v>
      </c>
      <c r="AF42" s="9">
        <v>-18540070.600000001</v>
      </c>
      <c r="AG42" s="9">
        <v>12262888.999999996</v>
      </c>
      <c r="AH42" s="9">
        <v>30802959.599999998</v>
      </c>
      <c r="AI42" s="9">
        <v>-18597440.07</v>
      </c>
      <c r="AJ42" s="9">
        <v>12205519.529999997</v>
      </c>
      <c r="AK42" s="9">
        <v>30802959.599999998</v>
      </c>
      <c r="AL42" s="9">
        <v>-18654809.580000002</v>
      </c>
      <c r="AM42" s="9">
        <v>12148150.019999996</v>
      </c>
      <c r="AN42" s="6">
        <v>30805501.459999997</v>
      </c>
      <c r="AO42" s="6">
        <v>-18712179.060000002</v>
      </c>
      <c r="AP42" s="9">
        <v>12093322.399999995</v>
      </c>
    </row>
    <row r="43" spans="1:42">
      <c r="A43" t="s">
        <v>115</v>
      </c>
      <c r="B43" t="s">
        <v>163</v>
      </c>
      <c r="C43" t="s">
        <v>217</v>
      </c>
      <c r="D43" s="6">
        <v>154787912.92000002</v>
      </c>
      <c r="E43" s="6">
        <v>-89298338.710000023</v>
      </c>
      <c r="F43" s="9">
        <v>65489574.209999993</v>
      </c>
      <c r="G43" s="9">
        <v>154787912.92000002</v>
      </c>
      <c r="H43" s="9">
        <v>-89702731.930000022</v>
      </c>
      <c r="I43" s="9">
        <v>65085180.989999995</v>
      </c>
      <c r="J43" s="9">
        <v>154787912.92000002</v>
      </c>
      <c r="K43" s="9">
        <v>-90107125.14000003</v>
      </c>
      <c r="L43" s="9">
        <v>64680787.779999986</v>
      </c>
      <c r="M43" s="9">
        <v>154787912.92000002</v>
      </c>
      <c r="N43" s="9">
        <v>-90511518.420000017</v>
      </c>
      <c r="O43" s="9">
        <v>64276394.5</v>
      </c>
      <c r="P43" s="9">
        <v>154787912.92000002</v>
      </c>
      <c r="Q43" s="9">
        <v>-90915911.610000029</v>
      </c>
      <c r="R43" s="9">
        <v>63872001.309999987</v>
      </c>
      <c r="S43" s="9">
        <v>154787912.92000002</v>
      </c>
      <c r="T43" s="9">
        <v>-91320304.920000017</v>
      </c>
      <c r="U43" s="9">
        <v>63467608</v>
      </c>
      <c r="V43" s="9">
        <v>154787912.92000002</v>
      </c>
      <c r="W43" s="9">
        <v>-91724698.190000027</v>
      </c>
      <c r="X43" s="9">
        <v>63063214.729999989</v>
      </c>
      <c r="Y43" s="9">
        <v>154787912.92000002</v>
      </c>
      <c r="Z43" s="9">
        <v>-92120963.580000028</v>
      </c>
      <c r="AA43" s="9">
        <v>62666949.339999989</v>
      </c>
      <c r="AB43" s="9">
        <v>154787912.92000002</v>
      </c>
      <c r="AC43" s="9">
        <v>-92517228.940000027</v>
      </c>
      <c r="AD43" s="9">
        <v>62270683.979999989</v>
      </c>
      <c r="AE43" s="9">
        <v>154787912.92000002</v>
      </c>
      <c r="AF43" s="9">
        <v>-92913494.25000003</v>
      </c>
      <c r="AG43" s="9">
        <v>61874418.669999987</v>
      </c>
      <c r="AH43" s="9">
        <v>154787912.92000002</v>
      </c>
      <c r="AI43" s="9">
        <v>-93309759.590000018</v>
      </c>
      <c r="AJ43" s="9">
        <v>61478153.329999998</v>
      </c>
      <c r="AK43" s="9">
        <v>154787912.92000002</v>
      </c>
      <c r="AL43" s="9">
        <v>-93706024.930000022</v>
      </c>
      <c r="AM43" s="9">
        <v>61081887.989999995</v>
      </c>
      <c r="AN43" s="6">
        <v>156646049.97999999</v>
      </c>
      <c r="AO43" s="6">
        <v>-94102290.210000023</v>
      </c>
      <c r="AP43" s="9">
        <v>62543759.769999966</v>
      </c>
    </row>
    <row r="44" spans="1:42">
      <c r="A44" t="s">
        <v>116</v>
      </c>
      <c r="B44" t="s">
        <v>163</v>
      </c>
      <c r="C44" t="s">
        <v>217</v>
      </c>
      <c r="D44" s="6">
        <v>2102488.11</v>
      </c>
      <c r="E44" s="6">
        <v>-1250876.9799999995</v>
      </c>
      <c r="F44" s="9">
        <v>851611.13000000035</v>
      </c>
      <c r="G44" s="9">
        <v>2102488.11</v>
      </c>
      <c r="H44" s="9">
        <v>-1254985.3899999994</v>
      </c>
      <c r="I44" s="9">
        <v>847502.72000000044</v>
      </c>
      <c r="J44" s="9">
        <v>2102488.11</v>
      </c>
      <c r="K44" s="9">
        <v>-1259093.7999999993</v>
      </c>
      <c r="L44" s="9">
        <v>843394.31000000052</v>
      </c>
      <c r="M44" s="9">
        <v>2102488.11</v>
      </c>
      <c r="N44" s="9">
        <v>-1263202.2099999995</v>
      </c>
      <c r="O44" s="9">
        <v>839285.90000000037</v>
      </c>
      <c r="P44" s="9">
        <v>2102488.11</v>
      </c>
      <c r="Q44" s="9">
        <v>-1267310.6299999994</v>
      </c>
      <c r="R44" s="9">
        <v>835177.48000000045</v>
      </c>
      <c r="S44" s="9">
        <v>2102488.11</v>
      </c>
      <c r="T44" s="9">
        <v>-1271419.0499999993</v>
      </c>
      <c r="U44" s="9">
        <v>831069.06000000052</v>
      </c>
      <c r="V44" s="9">
        <v>2102488.11</v>
      </c>
      <c r="W44" s="9">
        <v>-1275527.4799999995</v>
      </c>
      <c r="X44" s="9">
        <v>826960.63000000035</v>
      </c>
      <c r="Y44" s="9">
        <v>2102488.11</v>
      </c>
      <c r="Z44" s="9">
        <v>-1279635.8999999994</v>
      </c>
      <c r="AA44" s="9">
        <v>822852.21000000043</v>
      </c>
      <c r="AB44" s="9">
        <v>2102488.11</v>
      </c>
      <c r="AC44" s="9">
        <v>-1283744.3299999994</v>
      </c>
      <c r="AD44" s="9">
        <v>818743.78000000049</v>
      </c>
      <c r="AE44" s="9">
        <v>2102488.11</v>
      </c>
      <c r="AF44" s="9">
        <v>-1287852.7599999995</v>
      </c>
      <c r="AG44" s="9">
        <v>814635.35000000033</v>
      </c>
      <c r="AH44" s="9">
        <v>2102488.11</v>
      </c>
      <c r="AI44" s="9">
        <v>-1291961.1799999995</v>
      </c>
      <c r="AJ44" s="9">
        <v>810526.9300000004</v>
      </c>
      <c r="AK44" s="9">
        <v>2102488.11</v>
      </c>
      <c r="AL44" s="9">
        <v>-1296069.6099999994</v>
      </c>
      <c r="AM44" s="9">
        <v>806418.50000000047</v>
      </c>
      <c r="AN44" s="6">
        <v>2222867.44</v>
      </c>
      <c r="AO44" s="6">
        <v>-1300178.0499999996</v>
      </c>
      <c r="AP44" s="9">
        <v>922689.39000000036</v>
      </c>
    </row>
    <row r="45" spans="1:42">
      <c r="A45" t="s">
        <v>117</v>
      </c>
      <c r="B45" t="s">
        <v>163</v>
      </c>
      <c r="C45" t="s">
        <v>217</v>
      </c>
      <c r="D45" s="6">
        <v>94638276.829999998</v>
      </c>
      <c r="E45" s="6">
        <v>-68835607.650000021</v>
      </c>
      <c r="F45" s="9">
        <v>25802669.179999977</v>
      </c>
      <c r="G45" s="9">
        <v>94638276.829999998</v>
      </c>
      <c r="H45" s="9">
        <v>-69035436.230000004</v>
      </c>
      <c r="I45" s="9">
        <v>25602840.599999994</v>
      </c>
      <c r="J45" s="9">
        <v>94638276.829999998</v>
      </c>
      <c r="K45" s="9">
        <v>-69235264.840000004</v>
      </c>
      <c r="L45" s="9">
        <v>25403011.989999995</v>
      </c>
      <c r="M45" s="9">
        <v>94638276.829999998</v>
      </c>
      <c r="N45" s="9">
        <v>-69435093.409999996</v>
      </c>
      <c r="O45" s="9">
        <v>25203183.420000002</v>
      </c>
      <c r="P45" s="9">
        <v>94638276.829999998</v>
      </c>
      <c r="Q45" s="9">
        <v>-69634921.960000008</v>
      </c>
      <c r="R45" s="9">
        <v>25003354.86999999</v>
      </c>
      <c r="S45" s="9">
        <v>94638276.829999998</v>
      </c>
      <c r="T45" s="9">
        <v>-69834750.520000011</v>
      </c>
      <c r="U45" s="9">
        <v>24803526.309999987</v>
      </c>
      <c r="V45" s="9">
        <v>94638276.829999998</v>
      </c>
      <c r="W45" s="9">
        <v>-70034579</v>
      </c>
      <c r="X45" s="9">
        <v>24603697.829999998</v>
      </c>
      <c r="Y45" s="9">
        <v>94638276.829999998</v>
      </c>
      <c r="Z45" s="9">
        <v>-70234407.530000001</v>
      </c>
      <c r="AA45" s="9">
        <v>24403869.299999997</v>
      </c>
      <c r="AB45" s="9">
        <v>94638276.829999998</v>
      </c>
      <c r="AC45" s="9">
        <v>-70434236.030000016</v>
      </c>
      <c r="AD45" s="9">
        <v>24204040.799999982</v>
      </c>
      <c r="AE45" s="9">
        <v>94638276.829999998</v>
      </c>
      <c r="AF45" s="9">
        <v>-70634064.460000008</v>
      </c>
      <c r="AG45" s="9">
        <v>24004212.36999999</v>
      </c>
      <c r="AH45" s="9">
        <v>94638276.829999998</v>
      </c>
      <c r="AI45" s="9">
        <v>-70833892.980000004</v>
      </c>
      <c r="AJ45" s="9">
        <v>23804383.849999994</v>
      </c>
      <c r="AK45" s="9">
        <v>94638276.829999998</v>
      </c>
      <c r="AL45" s="9">
        <v>-71033721.429999992</v>
      </c>
      <c r="AM45" s="9">
        <v>23604555.400000006</v>
      </c>
      <c r="AN45" s="6">
        <v>97020595.609999999</v>
      </c>
      <c r="AO45" s="6">
        <v>-71233549.909999982</v>
      </c>
      <c r="AP45" s="9">
        <v>25787045.700000018</v>
      </c>
    </row>
    <row r="46" spans="1:42">
      <c r="A46" t="s">
        <v>118</v>
      </c>
      <c r="B46" t="s">
        <v>163</v>
      </c>
      <c r="C46" t="s">
        <v>217</v>
      </c>
      <c r="D46" s="6">
        <v>57085790.529999994</v>
      </c>
      <c r="E46" s="6">
        <v>-38390083.170000002</v>
      </c>
      <c r="F46" s="9">
        <v>18695707.359999992</v>
      </c>
      <c r="G46" s="9">
        <v>57085790.529999994</v>
      </c>
      <c r="H46" s="9">
        <v>-38481134.25</v>
      </c>
      <c r="I46" s="9">
        <v>18604656.279999994</v>
      </c>
      <c r="J46" s="9">
        <v>57085790.529999994</v>
      </c>
      <c r="K46" s="9">
        <v>-38572185.289999999</v>
      </c>
      <c r="L46" s="9">
        <v>18513605.239999995</v>
      </c>
      <c r="M46" s="9">
        <v>57085790.529999994</v>
      </c>
      <c r="N46" s="9">
        <v>-38663236.32</v>
      </c>
      <c r="O46" s="9">
        <v>18422554.209999993</v>
      </c>
      <c r="P46" s="9">
        <v>57085790.529999994</v>
      </c>
      <c r="Q46" s="9">
        <v>-38754287.359999999</v>
      </c>
      <c r="R46" s="9">
        <v>18331503.169999994</v>
      </c>
      <c r="S46" s="9">
        <v>57085790.529999994</v>
      </c>
      <c r="T46" s="9">
        <v>-38845338.490000002</v>
      </c>
      <c r="U46" s="9">
        <v>18240452.039999992</v>
      </c>
      <c r="V46" s="9">
        <v>57085790.529999994</v>
      </c>
      <c r="W46" s="9">
        <v>-38936389.670000002</v>
      </c>
      <c r="X46" s="9">
        <v>18149400.859999992</v>
      </c>
      <c r="Y46" s="9">
        <v>57085790.529999994</v>
      </c>
      <c r="Z46" s="9">
        <v>-39022492.170000002</v>
      </c>
      <c r="AA46" s="9">
        <v>18063298.359999992</v>
      </c>
      <c r="AB46" s="9">
        <v>57085790.529999994</v>
      </c>
      <c r="AC46" s="9">
        <v>-39108594.710000001</v>
      </c>
      <c r="AD46" s="9">
        <v>17977195.819999993</v>
      </c>
      <c r="AE46" s="9">
        <v>57092839.449999988</v>
      </c>
      <c r="AF46" s="9">
        <v>-39194855.770000003</v>
      </c>
      <c r="AG46" s="9">
        <v>17897983.679999985</v>
      </c>
      <c r="AH46" s="9">
        <v>57092839.449999988</v>
      </c>
      <c r="AI46" s="9">
        <v>-39280975.980000004</v>
      </c>
      <c r="AJ46" s="9">
        <v>17811863.469999984</v>
      </c>
      <c r="AK46" s="9">
        <v>57092839.449999988</v>
      </c>
      <c r="AL46" s="9">
        <v>-39367096.120000005</v>
      </c>
      <c r="AM46" s="9">
        <v>17725743.329999983</v>
      </c>
      <c r="AN46" s="6">
        <v>58084135.459999993</v>
      </c>
      <c r="AO46" s="6">
        <v>-39453216.420000002</v>
      </c>
      <c r="AP46" s="9">
        <v>18630919.039999992</v>
      </c>
    </row>
    <row r="47" spans="1:42">
      <c r="A47" t="s">
        <v>119</v>
      </c>
      <c r="B47" t="s">
        <v>163</v>
      </c>
      <c r="C47" t="s">
        <v>217</v>
      </c>
      <c r="D47" s="6">
        <v>317880498.25</v>
      </c>
      <c r="E47" s="6">
        <v>-186135270.72999993</v>
      </c>
      <c r="F47" s="9">
        <v>131745227.52000007</v>
      </c>
      <c r="G47" s="9">
        <v>317880498.25</v>
      </c>
      <c r="H47" s="9">
        <v>-186850134.18999994</v>
      </c>
      <c r="I47" s="9">
        <v>131030364.06000006</v>
      </c>
      <c r="J47" s="9">
        <v>317880498.25</v>
      </c>
      <c r="K47" s="9">
        <v>-187564997.56999993</v>
      </c>
      <c r="L47" s="9">
        <v>130315500.68000007</v>
      </c>
      <c r="M47" s="9">
        <v>317880498.25</v>
      </c>
      <c r="N47" s="9">
        <v>-188279860.98999995</v>
      </c>
      <c r="O47" s="9">
        <v>129600637.26000005</v>
      </c>
      <c r="P47" s="9">
        <v>317880498.25</v>
      </c>
      <c r="Q47" s="9">
        <v>-188994724.40999994</v>
      </c>
      <c r="R47" s="9">
        <v>128885773.84000006</v>
      </c>
      <c r="S47" s="9">
        <v>317880498.25</v>
      </c>
      <c r="T47" s="9">
        <v>-189709587.76999995</v>
      </c>
      <c r="U47" s="9">
        <v>128170910.48000005</v>
      </c>
      <c r="V47" s="9">
        <v>317880498.25</v>
      </c>
      <c r="W47" s="9">
        <v>-190424451.30999994</v>
      </c>
      <c r="X47" s="9">
        <v>127456046.94000006</v>
      </c>
      <c r="Y47" s="9">
        <v>317880498.25</v>
      </c>
      <c r="Z47" s="9">
        <v>-191123118.03999993</v>
      </c>
      <c r="AA47" s="9">
        <v>126757380.21000007</v>
      </c>
      <c r="AB47" s="9">
        <v>317880498.25</v>
      </c>
      <c r="AC47" s="9">
        <v>-191821784.89999995</v>
      </c>
      <c r="AD47" s="9">
        <v>126058713.35000005</v>
      </c>
      <c r="AE47" s="9">
        <v>318411227.94999999</v>
      </c>
      <c r="AF47" s="9">
        <v>-192534052.14999995</v>
      </c>
      <c r="AG47" s="9">
        <v>125877175.80000004</v>
      </c>
      <c r="AH47" s="9">
        <v>318411227.94999999</v>
      </c>
      <c r="AI47" s="9">
        <v>-193234230.23999995</v>
      </c>
      <c r="AJ47" s="9">
        <v>125176997.71000004</v>
      </c>
      <c r="AK47" s="9">
        <v>318411227.94999999</v>
      </c>
      <c r="AL47" s="9">
        <v>-193934408.14999995</v>
      </c>
      <c r="AM47" s="9">
        <v>124476819.80000004</v>
      </c>
      <c r="AN47" s="6">
        <v>335113264.17000002</v>
      </c>
      <c r="AO47" s="6">
        <v>-194688815.26999995</v>
      </c>
      <c r="AP47" s="9">
        <v>140424448.90000007</v>
      </c>
    </row>
    <row r="48" spans="1:42">
      <c r="A48" t="s">
        <v>120</v>
      </c>
      <c r="B48" t="s">
        <v>163</v>
      </c>
      <c r="C48" t="s">
        <v>217</v>
      </c>
      <c r="D48" s="6">
        <v>336150823.79000002</v>
      </c>
      <c r="E48" s="6">
        <v>-171735735.14999992</v>
      </c>
      <c r="F48" s="9">
        <v>164415088.6400001</v>
      </c>
      <c r="G48" s="9">
        <v>336150823.79000002</v>
      </c>
      <c r="H48" s="9">
        <v>-172522158.32999992</v>
      </c>
      <c r="I48" s="9">
        <v>163628665.4600001</v>
      </c>
      <c r="J48" s="9">
        <v>336150823.79000002</v>
      </c>
      <c r="K48" s="9">
        <v>-173308581.49999991</v>
      </c>
      <c r="L48" s="9">
        <v>162842242.29000011</v>
      </c>
      <c r="M48" s="9">
        <v>336150823.79000002</v>
      </c>
      <c r="N48" s="9">
        <v>-174095004.68999991</v>
      </c>
      <c r="O48" s="9">
        <v>162055819.10000011</v>
      </c>
      <c r="P48" s="9">
        <v>336150823.79000002</v>
      </c>
      <c r="Q48" s="9">
        <v>-174881427.90999991</v>
      </c>
      <c r="R48" s="9">
        <v>161269395.88000011</v>
      </c>
      <c r="S48" s="9">
        <v>336150823.79000002</v>
      </c>
      <c r="T48" s="9">
        <v>-175667851.11999992</v>
      </c>
      <c r="U48" s="9">
        <v>160482972.67000011</v>
      </c>
      <c r="V48" s="9">
        <v>336150823.79000002</v>
      </c>
      <c r="W48" s="9">
        <v>-176454274.3499999</v>
      </c>
      <c r="X48" s="9">
        <v>159696549.44000012</v>
      </c>
      <c r="Y48" s="9">
        <v>336150823.79000002</v>
      </c>
      <c r="Z48" s="9">
        <v>-177226451.54999992</v>
      </c>
      <c r="AA48" s="9">
        <v>158924372.2400001</v>
      </c>
      <c r="AB48" s="9">
        <v>336150823.79000002</v>
      </c>
      <c r="AC48" s="9">
        <v>-177998628.75999993</v>
      </c>
      <c r="AD48" s="9">
        <v>158152195.03000009</v>
      </c>
      <c r="AE48" s="9">
        <v>336172398.80000001</v>
      </c>
      <c r="AF48" s="9">
        <v>-178771291.39999992</v>
      </c>
      <c r="AG48" s="9">
        <v>157401107.4000001</v>
      </c>
      <c r="AH48" s="9">
        <v>336172398.80000001</v>
      </c>
      <c r="AI48" s="9">
        <v>-179543522.55999991</v>
      </c>
      <c r="AJ48" s="9">
        <v>156628876.2400001</v>
      </c>
      <c r="AK48" s="9">
        <v>336172398.80000001</v>
      </c>
      <c r="AL48" s="9">
        <v>-180315753.71999991</v>
      </c>
      <c r="AM48" s="9">
        <v>155856645.0800001</v>
      </c>
      <c r="AN48" s="6">
        <v>357104634.07000005</v>
      </c>
      <c r="AO48" s="6">
        <v>-181087984.81999993</v>
      </c>
      <c r="AP48" s="9">
        <v>176016649.25000012</v>
      </c>
    </row>
    <row r="49" spans="1:42">
      <c r="A49" t="s">
        <v>121</v>
      </c>
      <c r="B49" t="s">
        <v>163</v>
      </c>
      <c r="C49" t="s">
        <v>217</v>
      </c>
      <c r="D49" s="6">
        <v>118982793.64</v>
      </c>
      <c r="E49" s="6">
        <v>-67462512.239999995</v>
      </c>
      <c r="F49" s="9">
        <v>51520281.400000006</v>
      </c>
      <c r="G49" s="9">
        <v>118982793.64</v>
      </c>
      <c r="H49" s="9">
        <v>-67725820.260000005</v>
      </c>
      <c r="I49" s="9">
        <v>51256973.379999995</v>
      </c>
      <c r="J49" s="9">
        <v>118982793.64</v>
      </c>
      <c r="K49" s="9">
        <v>-67989128.260000005</v>
      </c>
      <c r="L49" s="9">
        <v>50993665.379999995</v>
      </c>
      <c r="M49" s="9">
        <v>118982793.64</v>
      </c>
      <c r="N49" s="9">
        <v>-68252436.219999999</v>
      </c>
      <c r="O49" s="9">
        <v>50730357.420000002</v>
      </c>
      <c r="P49" s="9">
        <v>118982793.64</v>
      </c>
      <c r="Q49" s="9">
        <v>-68515744.459999993</v>
      </c>
      <c r="R49" s="9">
        <v>50467049.180000007</v>
      </c>
      <c r="S49" s="9">
        <v>118982793.64</v>
      </c>
      <c r="T49" s="9">
        <v>-68779052.489999995</v>
      </c>
      <c r="U49" s="9">
        <v>50203741.150000006</v>
      </c>
      <c r="V49" s="9">
        <v>118982793.64</v>
      </c>
      <c r="W49" s="9">
        <v>-69042360.790000007</v>
      </c>
      <c r="X49" s="9">
        <v>49940432.849999994</v>
      </c>
      <c r="Y49" s="9">
        <v>118982793.64</v>
      </c>
      <c r="Z49" s="9">
        <v>-69298714.980000004</v>
      </c>
      <c r="AA49" s="9">
        <v>49684078.659999996</v>
      </c>
      <c r="AB49" s="9">
        <v>118982793.64</v>
      </c>
      <c r="AC49" s="9">
        <v>-69555069.359999999</v>
      </c>
      <c r="AD49" s="9">
        <v>49427724.280000001</v>
      </c>
      <c r="AE49" s="9">
        <v>118992318.22</v>
      </c>
      <c r="AF49" s="9">
        <v>-69811637.809999987</v>
      </c>
      <c r="AG49" s="9">
        <v>49180680.410000011</v>
      </c>
      <c r="AH49" s="9">
        <v>118992318.22</v>
      </c>
      <c r="AI49" s="9">
        <v>-70068016.049999997</v>
      </c>
      <c r="AJ49" s="9">
        <v>48924302.170000002</v>
      </c>
      <c r="AK49" s="9">
        <v>118992318.22</v>
      </c>
      <c r="AL49" s="9">
        <v>-70324394</v>
      </c>
      <c r="AM49" s="9">
        <v>48667924.219999999</v>
      </c>
      <c r="AN49" s="6">
        <v>119685281.43000001</v>
      </c>
      <c r="AO49" s="6">
        <v>-70582909.399999991</v>
      </c>
      <c r="AP49" s="9">
        <v>49102372.030000016</v>
      </c>
    </row>
    <row r="50" spans="1:42">
      <c r="A50" t="s">
        <v>122</v>
      </c>
      <c r="B50" t="s">
        <v>163</v>
      </c>
      <c r="C50" t="s">
        <v>217</v>
      </c>
      <c r="D50" s="6">
        <v>89598556.519999981</v>
      </c>
      <c r="E50" s="6">
        <v>-70092337.689999968</v>
      </c>
      <c r="F50" s="9">
        <v>19506218.830000013</v>
      </c>
      <c r="G50" s="9">
        <v>89598556.519999981</v>
      </c>
      <c r="H50" s="9">
        <v>-70248690.669999972</v>
      </c>
      <c r="I50" s="9">
        <v>19349865.850000009</v>
      </c>
      <c r="J50" s="9">
        <v>89598556.519999981</v>
      </c>
      <c r="K50" s="9">
        <v>-70405043.61999996</v>
      </c>
      <c r="L50" s="9">
        <v>19193512.900000021</v>
      </c>
      <c r="M50" s="9">
        <v>89598556.519999981</v>
      </c>
      <c r="N50" s="9">
        <v>-70561396.539999962</v>
      </c>
      <c r="O50" s="9">
        <v>19037159.980000019</v>
      </c>
      <c r="P50" s="9">
        <v>89598556.519999981</v>
      </c>
      <c r="Q50" s="9">
        <v>-70717749.459999964</v>
      </c>
      <c r="R50" s="9">
        <v>18880807.060000017</v>
      </c>
      <c r="S50" s="9">
        <v>89598556.519999981</v>
      </c>
      <c r="T50" s="9">
        <v>-70874102.379999965</v>
      </c>
      <c r="U50" s="9">
        <v>18724454.140000015</v>
      </c>
      <c r="V50" s="9">
        <v>89598556.519999981</v>
      </c>
      <c r="W50" s="9">
        <v>-71030455.349999964</v>
      </c>
      <c r="X50" s="9">
        <v>18568101.170000017</v>
      </c>
      <c r="Y50" s="9">
        <v>89598556.519999981</v>
      </c>
      <c r="Z50" s="9">
        <v>-71186808.289999962</v>
      </c>
      <c r="AA50" s="9">
        <v>18411748.230000019</v>
      </c>
      <c r="AB50" s="9">
        <v>89598556.519999981</v>
      </c>
      <c r="AC50" s="9">
        <v>-71343161.219999969</v>
      </c>
      <c r="AD50" s="9">
        <v>18255395.300000012</v>
      </c>
      <c r="AE50" s="9">
        <v>89598556.519999981</v>
      </c>
      <c r="AF50" s="9">
        <v>-71499514.169999957</v>
      </c>
      <c r="AG50" s="9">
        <v>18099042.350000024</v>
      </c>
      <c r="AH50" s="9">
        <v>89598556.519999981</v>
      </c>
      <c r="AI50" s="9">
        <v>-71655867.129999965</v>
      </c>
      <c r="AJ50" s="9">
        <v>17942689.390000015</v>
      </c>
      <c r="AK50" s="9">
        <v>89598556.519999981</v>
      </c>
      <c r="AL50" s="9">
        <v>-71812220.059999958</v>
      </c>
      <c r="AM50" s="9">
        <v>17786336.460000023</v>
      </c>
      <c r="AN50" s="6">
        <v>92634535.709999979</v>
      </c>
      <c r="AO50" s="6">
        <v>-71968573.029999956</v>
      </c>
      <c r="AP50" s="9">
        <v>20665962.680000022</v>
      </c>
    </row>
    <row r="51" spans="1:42">
      <c r="A51" t="s">
        <v>123</v>
      </c>
      <c r="B51" t="s">
        <v>163</v>
      </c>
      <c r="C51" t="s">
        <v>217</v>
      </c>
      <c r="D51" s="6">
        <v>86762168.370000005</v>
      </c>
      <c r="E51" s="6">
        <v>-40341431.059999987</v>
      </c>
      <c r="F51" s="9">
        <v>46420737.310000017</v>
      </c>
      <c r="G51" s="9">
        <v>86762168.370000005</v>
      </c>
      <c r="H51" s="9">
        <v>-40657175.54999999</v>
      </c>
      <c r="I51" s="9">
        <v>46104992.820000015</v>
      </c>
      <c r="J51" s="9">
        <v>86762168.370000005</v>
      </c>
      <c r="K51" s="9">
        <v>-40972920.079999991</v>
      </c>
      <c r="L51" s="9">
        <v>45789248.290000014</v>
      </c>
      <c r="M51" s="9">
        <v>86762168.370000005</v>
      </c>
      <c r="N51" s="9">
        <v>-41288664.54999999</v>
      </c>
      <c r="O51" s="9">
        <v>45473503.820000015</v>
      </c>
      <c r="P51" s="9">
        <v>86752865.870000005</v>
      </c>
      <c r="Q51" s="9">
        <v>-41597873.929999985</v>
      </c>
      <c r="R51" s="9">
        <v>45154991.94000002</v>
      </c>
      <c r="S51" s="9">
        <v>86752865.870000005</v>
      </c>
      <c r="T51" s="9">
        <v>-41913579.61999999</v>
      </c>
      <c r="U51" s="9">
        <v>44839286.250000015</v>
      </c>
      <c r="V51" s="9">
        <v>86752865.870000005</v>
      </c>
      <c r="W51" s="9">
        <v>-42229285.379999988</v>
      </c>
      <c r="X51" s="9">
        <v>44523580.490000017</v>
      </c>
      <c r="Y51" s="9">
        <v>86752865.870000005</v>
      </c>
      <c r="Z51" s="9">
        <v>-42544991.089999989</v>
      </c>
      <c r="AA51" s="9">
        <v>44207874.780000016</v>
      </c>
      <c r="AB51" s="9">
        <v>86752865.870000005</v>
      </c>
      <c r="AC51" s="9">
        <v>-42860696.829999991</v>
      </c>
      <c r="AD51" s="9">
        <v>43892169.040000014</v>
      </c>
      <c r="AE51" s="9">
        <v>86752865.870000005</v>
      </c>
      <c r="AF51" s="9">
        <v>-43176402.579999983</v>
      </c>
      <c r="AG51" s="9">
        <v>43576463.290000021</v>
      </c>
      <c r="AH51" s="9">
        <v>86752865.870000005</v>
      </c>
      <c r="AI51" s="9">
        <v>-43492108.289999992</v>
      </c>
      <c r="AJ51" s="9">
        <v>43260757.580000013</v>
      </c>
      <c r="AK51" s="9">
        <v>86752865.870000005</v>
      </c>
      <c r="AL51" s="9">
        <v>-43807814.089999989</v>
      </c>
      <c r="AM51" s="9">
        <v>42945051.780000016</v>
      </c>
      <c r="AN51" s="6">
        <v>88148768.24000001</v>
      </c>
      <c r="AO51" s="6">
        <v>-44123519.769999988</v>
      </c>
      <c r="AP51" s="9">
        <v>44025248.470000021</v>
      </c>
    </row>
    <row r="52" spans="1:42">
      <c r="A52" t="s">
        <v>124</v>
      </c>
      <c r="B52" t="s">
        <v>163</v>
      </c>
      <c r="C52" t="s">
        <v>217</v>
      </c>
      <c r="D52" s="6">
        <v>489091.36</v>
      </c>
      <c r="E52" s="6">
        <v>-489091.35999999993</v>
      </c>
      <c r="F52" s="9">
        <v>0</v>
      </c>
      <c r="G52" s="9">
        <v>489091.36</v>
      </c>
      <c r="H52" s="9">
        <v>-489091.35999999993</v>
      </c>
      <c r="I52" s="9">
        <v>0</v>
      </c>
      <c r="J52" s="9">
        <v>489091.36</v>
      </c>
      <c r="K52" s="9">
        <v>-489091.35999999993</v>
      </c>
      <c r="L52" s="9">
        <v>0</v>
      </c>
      <c r="M52" s="9">
        <v>489091.36</v>
      </c>
      <c r="N52" s="9">
        <v>-489091.35999999993</v>
      </c>
      <c r="O52" s="9">
        <v>0</v>
      </c>
      <c r="P52" s="9">
        <v>489091.36</v>
      </c>
      <c r="Q52" s="9">
        <v>-489091.35999999993</v>
      </c>
      <c r="R52" s="9">
        <v>0</v>
      </c>
      <c r="S52" s="9">
        <v>489091.36</v>
      </c>
      <c r="T52" s="9">
        <v>-489091.35999999993</v>
      </c>
      <c r="U52" s="9">
        <v>0</v>
      </c>
      <c r="V52" s="9">
        <v>489091.36</v>
      </c>
      <c r="W52" s="9">
        <v>-489091.35999999993</v>
      </c>
      <c r="X52" s="9">
        <v>0</v>
      </c>
      <c r="Y52" s="9">
        <v>489091.36</v>
      </c>
      <c r="Z52" s="9">
        <v>-489091.35999999993</v>
      </c>
      <c r="AA52" s="9">
        <v>0</v>
      </c>
      <c r="AB52" s="9">
        <v>489091.36</v>
      </c>
      <c r="AC52" s="9">
        <v>-489091.35999999993</v>
      </c>
      <c r="AD52" s="9">
        <v>0</v>
      </c>
      <c r="AE52" s="9">
        <v>489091.36</v>
      </c>
      <c r="AF52" s="9">
        <v>-489091.35999999993</v>
      </c>
      <c r="AG52" s="9">
        <v>0</v>
      </c>
      <c r="AH52" s="9">
        <v>489091.36</v>
      </c>
      <c r="AI52" s="9">
        <v>-489091.35999999993</v>
      </c>
      <c r="AJ52" s="9">
        <v>0</v>
      </c>
      <c r="AK52" s="9">
        <v>489091.36</v>
      </c>
      <c r="AL52" s="9">
        <v>-489091.35999999993</v>
      </c>
      <c r="AM52" s="9">
        <v>0</v>
      </c>
      <c r="AN52" s="6">
        <v>489091.36</v>
      </c>
      <c r="AO52" s="6">
        <v>-489091.35999999993</v>
      </c>
      <c r="AP52" s="9">
        <v>0</v>
      </c>
    </row>
    <row r="53" spans="1:42">
      <c r="A53" t="s">
        <v>125</v>
      </c>
      <c r="B53" t="s">
        <v>163</v>
      </c>
      <c r="C53" t="s">
        <v>217</v>
      </c>
      <c r="D53" s="6">
        <v>10961083.719999999</v>
      </c>
      <c r="E53" s="6">
        <v>-5788872.1100000003</v>
      </c>
      <c r="F53" s="9">
        <v>5172211.6099999985</v>
      </c>
      <c r="G53" s="9">
        <v>10961083.719999999</v>
      </c>
      <c r="H53" s="9">
        <v>-5822044.6100000003</v>
      </c>
      <c r="I53" s="9">
        <v>5139039.1099999985</v>
      </c>
      <c r="J53" s="9">
        <v>10961083.719999999</v>
      </c>
      <c r="K53" s="9">
        <v>-5855217.0800000001</v>
      </c>
      <c r="L53" s="9">
        <v>5105866.6399999987</v>
      </c>
      <c r="M53" s="9">
        <v>10961083.719999999</v>
      </c>
      <c r="N53" s="9">
        <v>-5888389.5900000008</v>
      </c>
      <c r="O53" s="9">
        <v>5072694.129999998</v>
      </c>
      <c r="P53" s="9">
        <v>10961083.719999999</v>
      </c>
      <c r="Q53" s="9">
        <v>-5921562.0300000003</v>
      </c>
      <c r="R53" s="9">
        <v>5039521.6899999985</v>
      </c>
      <c r="S53" s="9">
        <v>10961083.719999999</v>
      </c>
      <c r="T53" s="9">
        <v>-5954734.5500000007</v>
      </c>
      <c r="U53" s="9">
        <v>5006349.1699999981</v>
      </c>
      <c r="V53" s="9">
        <v>10961083.719999999</v>
      </c>
      <c r="W53" s="9">
        <v>-5987906.9200000009</v>
      </c>
      <c r="X53" s="9">
        <v>4973176.799999998</v>
      </c>
      <c r="Y53" s="9">
        <v>10961083.719999999</v>
      </c>
      <c r="Z53" s="9">
        <v>-6020946.3100000005</v>
      </c>
      <c r="AA53" s="9">
        <v>4940137.4099999983</v>
      </c>
      <c r="AB53" s="9">
        <v>10961083.719999999</v>
      </c>
      <c r="AC53" s="9">
        <v>-6053985.540000001</v>
      </c>
      <c r="AD53" s="9">
        <v>4907098.1799999978</v>
      </c>
      <c r="AE53" s="9">
        <v>10961083.719999999</v>
      </c>
      <c r="AF53" s="9">
        <v>-6087024.8900000006</v>
      </c>
      <c r="AG53" s="9">
        <v>4874058.8299999982</v>
      </c>
      <c r="AH53" s="9">
        <v>10961083.719999999</v>
      </c>
      <c r="AI53" s="9">
        <v>-6120064.120000001</v>
      </c>
      <c r="AJ53" s="9">
        <v>4841019.5999999978</v>
      </c>
      <c r="AK53" s="9">
        <v>10961083.719999999</v>
      </c>
      <c r="AL53" s="9">
        <v>-6153103.4800000004</v>
      </c>
      <c r="AM53" s="9">
        <v>4807980.2399999984</v>
      </c>
      <c r="AN53" s="6">
        <v>11254497.169999998</v>
      </c>
      <c r="AO53" s="6">
        <v>-6186142.6800000006</v>
      </c>
      <c r="AP53" s="9">
        <v>5068354.4899999974</v>
      </c>
    </row>
    <row r="54" spans="1:42">
      <c r="A54" t="s">
        <v>315</v>
      </c>
      <c r="B54" t="s">
        <v>417</v>
      </c>
      <c r="C54" t="s">
        <v>217</v>
      </c>
      <c r="D54" s="6">
        <v>56951291.870000005</v>
      </c>
      <c r="E54" s="6">
        <v>-38452520.929999992</v>
      </c>
      <c r="F54" s="9">
        <v>18498770.940000013</v>
      </c>
      <c r="G54" s="9">
        <v>56951291.870000005</v>
      </c>
      <c r="H54" s="9">
        <v>-38579649.889999993</v>
      </c>
      <c r="I54" s="9">
        <v>18371641.980000012</v>
      </c>
      <c r="J54" s="9">
        <v>56951291.870000005</v>
      </c>
      <c r="K54" s="9">
        <v>-38706778.859999992</v>
      </c>
      <c r="L54" s="9">
        <v>18244513.010000013</v>
      </c>
      <c r="M54" s="9">
        <v>56951291.870000005</v>
      </c>
      <c r="N54" s="9">
        <v>-38833907.839999996</v>
      </c>
      <c r="O54" s="9">
        <v>18117384.030000009</v>
      </c>
      <c r="P54" s="9">
        <v>56951291.870000005</v>
      </c>
      <c r="Q54" s="9">
        <v>-38961036.769999996</v>
      </c>
      <c r="R54" s="9">
        <v>17990255.100000009</v>
      </c>
      <c r="S54" s="9">
        <v>56951291.870000005</v>
      </c>
      <c r="T54" s="9">
        <v>-39088165.769999996</v>
      </c>
      <c r="U54" s="9">
        <v>17863126.100000009</v>
      </c>
      <c r="V54" s="9">
        <v>56951291.870000005</v>
      </c>
      <c r="W54" s="9">
        <v>-39215294.669999994</v>
      </c>
      <c r="X54" s="9">
        <v>17735997.20000001</v>
      </c>
      <c r="Y54" s="9">
        <v>56951291.870000005</v>
      </c>
      <c r="Z54" s="9">
        <v>-39340190.469999999</v>
      </c>
      <c r="AA54" s="9">
        <v>17611101.400000006</v>
      </c>
      <c r="AB54" s="9">
        <v>56951291.870000005</v>
      </c>
      <c r="AC54" s="9">
        <v>-39465086.189999998</v>
      </c>
      <c r="AD54" s="9">
        <v>17486205.680000007</v>
      </c>
      <c r="AE54" s="9">
        <v>56951291.870000005</v>
      </c>
      <c r="AF54" s="9">
        <v>-39589982.009999998</v>
      </c>
      <c r="AG54" s="9">
        <v>17361309.860000007</v>
      </c>
      <c r="AH54" s="9">
        <v>56951291.870000005</v>
      </c>
      <c r="AI54" s="9">
        <v>-39714877.719999999</v>
      </c>
      <c r="AJ54" s="9">
        <v>17236414.150000006</v>
      </c>
      <c r="AK54" s="9">
        <v>56951291.870000005</v>
      </c>
      <c r="AL54" s="9">
        <v>-39839773.609999992</v>
      </c>
      <c r="AM54" s="9">
        <v>17111518.260000013</v>
      </c>
      <c r="AN54" s="6">
        <v>59713079.900000006</v>
      </c>
      <c r="AO54" s="6">
        <v>-39964669.309999995</v>
      </c>
      <c r="AP54" s="9">
        <v>19748410.590000011</v>
      </c>
    </row>
    <row r="55" spans="1:42">
      <c r="A55" t="s">
        <v>126</v>
      </c>
      <c r="B55" t="s">
        <v>163</v>
      </c>
      <c r="C55" t="s">
        <v>105</v>
      </c>
      <c r="D55" s="6">
        <v>10109182.699999999</v>
      </c>
      <c r="E55" s="6">
        <v>-7395825.8199999994</v>
      </c>
      <c r="F55" s="9">
        <v>2713356.88</v>
      </c>
      <c r="G55" s="9">
        <v>10109182.699999999</v>
      </c>
      <c r="H55" s="9">
        <v>-7487439.75</v>
      </c>
      <c r="I55" s="9">
        <v>2621742.9499999993</v>
      </c>
      <c r="J55" s="9">
        <v>10109182.699999999</v>
      </c>
      <c r="K55" s="9">
        <v>-7579053.6800000006</v>
      </c>
      <c r="L55" s="9">
        <v>2530129.0199999986</v>
      </c>
      <c r="M55" s="9">
        <v>10109182.699999999</v>
      </c>
      <c r="N55" s="9">
        <v>-7668743.5599999996</v>
      </c>
      <c r="O55" s="9">
        <v>2440439.1399999997</v>
      </c>
      <c r="P55" s="9">
        <v>10109182.699999999</v>
      </c>
      <c r="Q55" s="9">
        <v>-7758433.4699999997</v>
      </c>
      <c r="R55" s="9">
        <v>2350749.2299999995</v>
      </c>
      <c r="S55" s="9">
        <v>10109182.699999999</v>
      </c>
      <c r="T55" s="9">
        <v>-7848123.3700000001</v>
      </c>
      <c r="U55" s="9">
        <v>2261059.3299999991</v>
      </c>
      <c r="V55" s="9">
        <v>10109182.699999999</v>
      </c>
      <c r="W55" s="9">
        <v>-7937813.29</v>
      </c>
      <c r="X55" s="9">
        <v>2171369.4099999992</v>
      </c>
      <c r="Y55" s="9">
        <v>10109182.699999999</v>
      </c>
      <c r="Z55" s="9">
        <v>-8027503.2000000002</v>
      </c>
      <c r="AA55" s="9">
        <v>2081679.4999999991</v>
      </c>
      <c r="AB55" s="9">
        <v>10109182.699999999</v>
      </c>
      <c r="AC55" s="9">
        <v>-8117193.1100000003</v>
      </c>
      <c r="AD55" s="9">
        <v>1991989.5899999989</v>
      </c>
      <c r="AE55" s="9">
        <v>10109182.699999999</v>
      </c>
      <c r="AF55" s="9">
        <v>-8206883.0100000007</v>
      </c>
      <c r="AG55" s="9">
        <v>1902299.6899999985</v>
      </c>
      <c r="AH55" s="9">
        <v>10109182.699999999</v>
      </c>
      <c r="AI55" s="9">
        <v>-8296572.9200000009</v>
      </c>
      <c r="AJ55" s="9">
        <v>1812609.7799999984</v>
      </c>
      <c r="AK55" s="9">
        <v>10109182.699999999</v>
      </c>
      <c r="AL55" s="9">
        <v>-8386262.8100000005</v>
      </c>
      <c r="AM55" s="9">
        <v>1722919.8899999987</v>
      </c>
      <c r="AN55" s="6">
        <v>21064369.370000001</v>
      </c>
      <c r="AO55" s="6">
        <v>-9132373.6599999983</v>
      </c>
      <c r="AP55" s="9">
        <v>11931995.710000003</v>
      </c>
    </row>
    <row r="56" spans="1:42">
      <c r="A56" t="s">
        <v>127</v>
      </c>
      <c r="B56" t="s">
        <v>163</v>
      </c>
      <c r="C56" t="s">
        <v>105</v>
      </c>
      <c r="D56" s="6">
        <v>2979259.8800000004</v>
      </c>
      <c r="E56" s="6">
        <v>0</v>
      </c>
      <c r="F56" s="9">
        <v>2979259.8800000004</v>
      </c>
      <c r="G56" s="9">
        <v>2979259.8800000004</v>
      </c>
      <c r="H56" s="9">
        <v>0</v>
      </c>
      <c r="I56" s="9">
        <v>2979259.8800000004</v>
      </c>
      <c r="J56" s="9">
        <v>2979259.8800000004</v>
      </c>
      <c r="K56" s="9">
        <v>0</v>
      </c>
      <c r="L56" s="9">
        <v>2979259.8800000004</v>
      </c>
      <c r="M56" s="9">
        <v>2979259.8800000004</v>
      </c>
      <c r="N56" s="9">
        <v>0</v>
      </c>
      <c r="O56" s="9">
        <v>2979259.8800000004</v>
      </c>
      <c r="P56" s="9">
        <v>2979259.8800000004</v>
      </c>
      <c r="Q56" s="9">
        <v>0</v>
      </c>
      <c r="R56" s="9">
        <v>2979259.8800000004</v>
      </c>
      <c r="S56" s="9">
        <v>2979259.8800000004</v>
      </c>
      <c r="T56" s="9">
        <v>0</v>
      </c>
      <c r="U56" s="9">
        <v>2979259.8800000004</v>
      </c>
      <c r="V56" s="9">
        <v>2979259.8800000004</v>
      </c>
      <c r="W56" s="9">
        <v>0</v>
      </c>
      <c r="X56" s="9">
        <v>2979259.8800000004</v>
      </c>
      <c r="Y56" s="9">
        <v>2979259.8800000004</v>
      </c>
      <c r="Z56" s="9">
        <v>0</v>
      </c>
      <c r="AA56" s="9">
        <v>2979259.8800000004</v>
      </c>
      <c r="AB56" s="9">
        <v>2979259.8800000004</v>
      </c>
      <c r="AC56" s="9">
        <v>0</v>
      </c>
      <c r="AD56" s="9">
        <v>2979259.8800000004</v>
      </c>
      <c r="AE56" s="9">
        <v>2979259.8800000004</v>
      </c>
      <c r="AF56" s="9">
        <v>0</v>
      </c>
      <c r="AG56" s="9">
        <v>2979259.8800000004</v>
      </c>
      <c r="AH56" s="9">
        <v>2979259.8800000004</v>
      </c>
      <c r="AI56" s="9">
        <v>0</v>
      </c>
      <c r="AJ56" s="9">
        <v>2979259.8800000004</v>
      </c>
      <c r="AK56" s="9">
        <v>2979259.8800000004</v>
      </c>
      <c r="AL56" s="9">
        <v>0</v>
      </c>
      <c r="AM56" s="9">
        <v>2979259.8800000004</v>
      </c>
      <c r="AN56" s="6">
        <v>2979259.8800000004</v>
      </c>
      <c r="AO56" s="6">
        <v>0</v>
      </c>
      <c r="AP56" s="9">
        <v>2979259.8800000004</v>
      </c>
    </row>
    <row r="57" spans="1:42">
      <c r="A57" t="s">
        <v>128</v>
      </c>
      <c r="B57" t="s">
        <v>163</v>
      </c>
      <c r="C57" t="s">
        <v>105</v>
      </c>
      <c r="D57" s="6">
        <v>41126171.729999997</v>
      </c>
      <c r="E57" s="6">
        <v>-12589476.449999999</v>
      </c>
      <c r="F57" s="9">
        <v>28536695.279999997</v>
      </c>
      <c r="G57" s="9">
        <v>41126171.729999997</v>
      </c>
      <c r="H57" s="9">
        <v>-12677817.719999999</v>
      </c>
      <c r="I57" s="9">
        <v>28448354.009999998</v>
      </c>
      <c r="J57" s="9">
        <v>41126171.729999997</v>
      </c>
      <c r="K57" s="9">
        <v>-12766159.029999999</v>
      </c>
      <c r="L57" s="9">
        <v>28360012.699999996</v>
      </c>
      <c r="M57" s="9">
        <v>41126171.729999997</v>
      </c>
      <c r="N57" s="9">
        <v>-12854500.27</v>
      </c>
      <c r="O57" s="9">
        <v>28271671.459999997</v>
      </c>
      <c r="P57" s="9">
        <v>41126171.729999997</v>
      </c>
      <c r="Q57" s="9">
        <v>-12942841.59</v>
      </c>
      <c r="R57" s="9">
        <v>28183330.139999997</v>
      </c>
      <c r="S57" s="9">
        <v>41126171.729999997</v>
      </c>
      <c r="T57" s="9">
        <v>-13031182.83</v>
      </c>
      <c r="U57" s="9">
        <v>28094988.899999999</v>
      </c>
      <c r="V57" s="9">
        <v>41126171.729999997</v>
      </c>
      <c r="W57" s="9">
        <v>-13119524.119999999</v>
      </c>
      <c r="X57" s="9">
        <v>28006647.609999999</v>
      </c>
      <c r="Y57" s="9">
        <v>41126171.729999997</v>
      </c>
      <c r="Z57" s="9">
        <v>-13207865.300000001</v>
      </c>
      <c r="AA57" s="9">
        <v>27918306.429999996</v>
      </c>
      <c r="AB57" s="9">
        <v>41126171.729999997</v>
      </c>
      <c r="AC57" s="9">
        <v>-13296206.58</v>
      </c>
      <c r="AD57" s="9">
        <v>27829965.149999999</v>
      </c>
      <c r="AE57" s="9">
        <v>41171493.489999995</v>
      </c>
      <c r="AF57" s="9">
        <v>-13381662.399999999</v>
      </c>
      <c r="AG57" s="9">
        <v>27789831.089999996</v>
      </c>
      <c r="AH57" s="9">
        <v>41171493.489999995</v>
      </c>
      <c r="AI57" s="9">
        <v>-13470066.049999999</v>
      </c>
      <c r="AJ57" s="9">
        <v>27701427.439999998</v>
      </c>
      <c r="AK57" s="9">
        <v>41171493.489999995</v>
      </c>
      <c r="AL57" s="9">
        <v>-13558469.549999999</v>
      </c>
      <c r="AM57" s="9">
        <v>27613023.939999998</v>
      </c>
      <c r="AN57" s="6">
        <v>111337498.86000001</v>
      </c>
      <c r="AO57" s="6">
        <v>-13757820.799999999</v>
      </c>
      <c r="AP57" s="9">
        <v>97579678.060000017</v>
      </c>
    </row>
    <row r="58" spans="1:42">
      <c r="A58" t="s">
        <v>129</v>
      </c>
      <c r="B58" t="s">
        <v>163</v>
      </c>
      <c r="C58" t="s">
        <v>105</v>
      </c>
      <c r="D58" s="6">
        <v>4361861.45</v>
      </c>
      <c r="E58" s="6">
        <v>-4348551.1200000038</v>
      </c>
      <c r="F58" s="9">
        <v>13310.329999996349</v>
      </c>
      <c r="G58" s="9">
        <v>4361861.45</v>
      </c>
      <c r="H58" s="9">
        <v>-4348684.2300000042</v>
      </c>
      <c r="I58" s="9">
        <v>13177.219999996014</v>
      </c>
      <c r="J58" s="9">
        <v>4361861.45</v>
      </c>
      <c r="K58" s="9">
        <v>-4348817.3300000038</v>
      </c>
      <c r="L58" s="9">
        <v>13044.119999996386</v>
      </c>
      <c r="M58" s="9">
        <v>4361861.45</v>
      </c>
      <c r="N58" s="9">
        <v>-4348950.4400000041</v>
      </c>
      <c r="O58" s="9">
        <v>12911.009999996051</v>
      </c>
      <c r="P58" s="9">
        <v>4361861.45</v>
      </c>
      <c r="Q58" s="9">
        <v>-4349083.5400000038</v>
      </c>
      <c r="R58" s="9">
        <v>12777.909999996424</v>
      </c>
      <c r="S58" s="9">
        <v>4361861.45</v>
      </c>
      <c r="T58" s="9">
        <v>-4349216.6500000041</v>
      </c>
      <c r="U58" s="9">
        <v>12644.799999996088</v>
      </c>
      <c r="V58" s="9">
        <v>4361861.45</v>
      </c>
      <c r="W58" s="9">
        <v>-4349349.7500000037</v>
      </c>
      <c r="X58" s="9">
        <v>12511.699999996461</v>
      </c>
      <c r="Y58" s="9">
        <v>4361861.45</v>
      </c>
      <c r="Z58" s="9">
        <v>-4349482.8600000041</v>
      </c>
      <c r="AA58" s="9">
        <v>12378.589999996126</v>
      </c>
      <c r="AB58" s="9">
        <v>4361861.45</v>
      </c>
      <c r="AC58" s="9">
        <v>-4349615.9500000039</v>
      </c>
      <c r="AD58" s="9">
        <v>12245.499999996275</v>
      </c>
      <c r="AE58" s="9">
        <v>4361861.45</v>
      </c>
      <c r="AF58" s="9">
        <v>-4349749.0600000042</v>
      </c>
      <c r="AG58" s="9">
        <v>12112.389999995939</v>
      </c>
      <c r="AH58" s="9">
        <v>4361861.45</v>
      </c>
      <c r="AI58" s="9">
        <v>-4349882.1500000041</v>
      </c>
      <c r="AJ58" s="9">
        <v>11979.299999996088</v>
      </c>
      <c r="AK58" s="9">
        <v>4361861.45</v>
      </c>
      <c r="AL58" s="9">
        <v>-4350015.2600000044</v>
      </c>
      <c r="AM58" s="9">
        <v>11846.189999995753</v>
      </c>
      <c r="AN58" s="6">
        <v>4361861.45</v>
      </c>
      <c r="AO58" s="6">
        <v>-4350148.3500000043</v>
      </c>
      <c r="AP58" s="9">
        <v>11713.099999995902</v>
      </c>
    </row>
    <row r="59" spans="1:42">
      <c r="A59" t="s">
        <v>130</v>
      </c>
      <c r="B59" t="s">
        <v>163</v>
      </c>
      <c r="C59" t="s">
        <v>105</v>
      </c>
      <c r="D59" s="6">
        <v>38938935.25</v>
      </c>
      <c r="E59" s="6">
        <v>-30656665.539999995</v>
      </c>
      <c r="F59" s="9">
        <v>8282269.7100000046</v>
      </c>
      <c r="G59" s="9">
        <v>38850928.359999999</v>
      </c>
      <c r="H59" s="9">
        <v>-30792867.999999996</v>
      </c>
      <c r="I59" s="9">
        <v>8058060.3600000031</v>
      </c>
      <c r="J59" s="9">
        <v>38546481.210000001</v>
      </c>
      <c r="K59" s="9">
        <v>-30707078.569999997</v>
      </c>
      <c r="L59" s="9">
        <v>7839402.6400000043</v>
      </c>
      <c r="M59" s="9">
        <v>38510159.380000003</v>
      </c>
      <c r="N59" s="9">
        <v>-30885949.049999997</v>
      </c>
      <c r="O59" s="9">
        <v>7624210.3300000057</v>
      </c>
      <c r="P59" s="9">
        <v>38510159.380000003</v>
      </c>
      <c r="Q59" s="9">
        <v>-31089352.529999997</v>
      </c>
      <c r="R59" s="9">
        <v>7420806.8500000052</v>
      </c>
      <c r="S59" s="9">
        <v>38481746.800000004</v>
      </c>
      <c r="T59" s="9">
        <v>-31244373.449999999</v>
      </c>
      <c r="U59" s="9">
        <v>7237373.3500000052</v>
      </c>
      <c r="V59" s="9">
        <v>38481746.800000004</v>
      </c>
      <c r="W59" s="9">
        <v>-31425848.569999997</v>
      </c>
      <c r="X59" s="9">
        <v>7055898.2300000079</v>
      </c>
      <c r="Y59" s="9">
        <v>38375625.880000003</v>
      </c>
      <c r="Z59" s="9">
        <v>-31500882.739999998</v>
      </c>
      <c r="AA59" s="9">
        <v>6874743.1400000043</v>
      </c>
      <c r="AB59" s="9">
        <v>41369536.130000003</v>
      </c>
      <c r="AC59" s="9">
        <v>-31533534.509999998</v>
      </c>
      <c r="AD59" s="9">
        <v>9836001.6200000048</v>
      </c>
      <c r="AE59" s="9">
        <v>41145058.490000002</v>
      </c>
      <c r="AF59" s="9">
        <v>-31534814.359999996</v>
      </c>
      <c r="AG59" s="9">
        <v>9610244.1300000064</v>
      </c>
      <c r="AH59" s="9">
        <v>40580064.149999999</v>
      </c>
      <c r="AI59" s="9">
        <v>-31195577.299999997</v>
      </c>
      <c r="AJ59" s="9">
        <v>9384486.8500000015</v>
      </c>
      <c r="AK59" s="9">
        <v>42054726.050000004</v>
      </c>
      <c r="AL59" s="9">
        <v>-31453574.189999998</v>
      </c>
      <c r="AM59" s="9">
        <v>10601151.860000007</v>
      </c>
      <c r="AN59" s="6">
        <v>41837043.109999999</v>
      </c>
      <c r="AO59" s="6">
        <v>-31480951.009999998</v>
      </c>
      <c r="AP59" s="9">
        <v>10356092.100000001</v>
      </c>
    </row>
    <row r="60" spans="1:42">
      <c r="A60" t="s">
        <v>131</v>
      </c>
      <c r="B60" t="s">
        <v>163</v>
      </c>
      <c r="C60" t="s">
        <v>105</v>
      </c>
      <c r="D60" s="6">
        <v>324648.67</v>
      </c>
      <c r="E60" s="6">
        <v>-324648.67</v>
      </c>
      <c r="F60" s="9">
        <v>0</v>
      </c>
      <c r="G60" s="9">
        <v>324648.67</v>
      </c>
      <c r="H60" s="9">
        <v>-324648.67</v>
      </c>
      <c r="I60" s="9">
        <v>0</v>
      </c>
      <c r="J60" s="9">
        <v>324648.67</v>
      </c>
      <c r="K60" s="9">
        <v>-324648.67</v>
      </c>
      <c r="L60" s="9">
        <v>0</v>
      </c>
      <c r="M60" s="9">
        <v>324648.67</v>
      </c>
      <c r="N60" s="9">
        <v>-324648.67</v>
      </c>
      <c r="O60" s="9">
        <v>0</v>
      </c>
      <c r="P60" s="9">
        <v>324648.67</v>
      </c>
      <c r="Q60" s="9">
        <v>-324648.67</v>
      </c>
      <c r="R60" s="9">
        <v>0</v>
      </c>
      <c r="S60" s="9">
        <v>324648.67</v>
      </c>
      <c r="T60" s="9">
        <v>-324648.67</v>
      </c>
      <c r="U60" s="9">
        <v>0</v>
      </c>
      <c r="V60" s="9">
        <v>324648.67</v>
      </c>
      <c r="W60" s="9">
        <v>-324648.67</v>
      </c>
      <c r="X60" s="9">
        <v>0</v>
      </c>
      <c r="Y60" s="9">
        <v>324648.67</v>
      </c>
      <c r="Z60" s="9">
        <v>-324648.67</v>
      </c>
      <c r="AA60" s="9">
        <v>0</v>
      </c>
      <c r="AB60" s="9">
        <v>324648.67</v>
      </c>
      <c r="AC60" s="9">
        <v>-324648.67</v>
      </c>
      <c r="AD60" s="9">
        <v>0</v>
      </c>
      <c r="AE60" s="9">
        <v>324648.67</v>
      </c>
      <c r="AF60" s="9">
        <v>-324648.67</v>
      </c>
      <c r="AG60" s="9">
        <v>0</v>
      </c>
      <c r="AH60" s="9">
        <v>324648.67</v>
      </c>
      <c r="AI60" s="9">
        <v>-324648.67</v>
      </c>
      <c r="AJ60" s="9">
        <v>0</v>
      </c>
      <c r="AK60" s="9">
        <v>324648.67</v>
      </c>
      <c r="AL60" s="9">
        <v>-324648.67</v>
      </c>
      <c r="AM60" s="9">
        <v>0</v>
      </c>
      <c r="AN60" s="6">
        <v>324648.67</v>
      </c>
      <c r="AO60" s="6">
        <v>-324648.67</v>
      </c>
      <c r="AP60" s="9">
        <v>0</v>
      </c>
    </row>
    <row r="61" spans="1:42">
      <c r="A61" t="s">
        <v>132</v>
      </c>
      <c r="B61" t="s">
        <v>163</v>
      </c>
      <c r="C61" t="s">
        <v>105</v>
      </c>
      <c r="D61" s="6">
        <v>10570746.01</v>
      </c>
      <c r="E61" s="6">
        <v>-9683171.7599999979</v>
      </c>
      <c r="F61" s="9">
        <v>887574.25000000186</v>
      </c>
      <c r="G61" s="9">
        <v>10570746.01</v>
      </c>
      <c r="H61" s="9">
        <v>-9692157.8999999985</v>
      </c>
      <c r="I61" s="9">
        <v>878588.11000000127</v>
      </c>
      <c r="J61" s="9">
        <v>10570746.01</v>
      </c>
      <c r="K61" s="9">
        <v>-9701144.0399999991</v>
      </c>
      <c r="L61" s="9">
        <v>869601.97000000067</v>
      </c>
      <c r="M61" s="9">
        <v>10570746.01</v>
      </c>
      <c r="N61" s="9">
        <v>-9710130.1899999976</v>
      </c>
      <c r="O61" s="9">
        <v>860615.82000000216</v>
      </c>
      <c r="P61" s="9">
        <v>10570746.01</v>
      </c>
      <c r="Q61" s="9">
        <v>-9719116.339999998</v>
      </c>
      <c r="R61" s="9">
        <v>851629.67000000179</v>
      </c>
      <c r="S61" s="9">
        <v>10570746.01</v>
      </c>
      <c r="T61" s="9">
        <v>-9728102.4899999984</v>
      </c>
      <c r="U61" s="9">
        <v>842643.52000000142</v>
      </c>
      <c r="V61" s="9">
        <v>10570746.01</v>
      </c>
      <c r="W61" s="9">
        <v>-9737088.5999999978</v>
      </c>
      <c r="X61" s="9">
        <v>833657.41000000201</v>
      </c>
      <c r="Y61" s="9">
        <v>10570746.01</v>
      </c>
      <c r="Z61" s="9">
        <v>-9746074.7499999981</v>
      </c>
      <c r="AA61" s="9">
        <v>824671.26000000164</v>
      </c>
      <c r="AB61" s="9">
        <v>10570746.01</v>
      </c>
      <c r="AC61" s="9">
        <v>-9755060.8599999975</v>
      </c>
      <c r="AD61" s="9">
        <v>815685.15000000224</v>
      </c>
      <c r="AE61" s="9">
        <v>10570746.01</v>
      </c>
      <c r="AF61" s="9">
        <v>-9764047.0199999977</v>
      </c>
      <c r="AG61" s="9">
        <v>806698.99000000209</v>
      </c>
      <c r="AH61" s="9">
        <v>10570746.01</v>
      </c>
      <c r="AI61" s="9">
        <v>-9773033.129999999</v>
      </c>
      <c r="AJ61" s="9">
        <v>797712.88000000082</v>
      </c>
      <c r="AK61" s="9">
        <v>10570746.01</v>
      </c>
      <c r="AL61" s="9">
        <v>-9782019.2999999989</v>
      </c>
      <c r="AM61" s="9">
        <v>788726.71000000089</v>
      </c>
      <c r="AN61" s="6">
        <v>10551092.199999999</v>
      </c>
      <c r="AO61" s="6">
        <v>-9788405.8099999987</v>
      </c>
      <c r="AP61" s="9">
        <v>762686.3900000006</v>
      </c>
    </row>
    <row r="62" spans="1:42">
      <c r="A62" t="s">
        <v>133</v>
      </c>
      <c r="B62" t="s">
        <v>163</v>
      </c>
      <c r="C62" t="s">
        <v>105</v>
      </c>
      <c r="D62" s="6">
        <v>1074434.21</v>
      </c>
      <c r="E62" s="6">
        <v>-1008838.94</v>
      </c>
      <c r="F62" s="9">
        <v>65595.270000000019</v>
      </c>
      <c r="G62" s="9">
        <v>1074434.21</v>
      </c>
      <c r="H62" s="9">
        <v>-1010163.13</v>
      </c>
      <c r="I62" s="9">
        <v>64271.079999999958</v>
      </c>
      <c r="J62" s="9">
        <v>1074434.21</v>
      </c>
      <c r="K62" s="9">
        <v>-1011487.32</v>
      </c>
      <c r="L62" s="9">
        <v>62946.890000000014</v>
      </c>
      <c r="M62" s="9">
        <v>1074434.21</v>
      </c>
      <c r="N62" s="9">
        <v>-1012811.51</v>
      </c>
      <c r="O62" s="9">
        <v>61622.699999999953</v>
      </c>
      <c r="P62" s="9">
        <v>1074434.21</v>
      </c>
      <c r="Q62" s="9">
        <v>-1014135.7</v>
      </c>
      <c r="R62" s="9">
        <v>60298.510000000009</v>
      </c>
      <c r="S62" s="9">
        <v>1074434.21</v>
      </c>
      <c r="T62" s="9">
        <v>-1015459.89</v>
      </c>
      <c r="U62" s="9">
        <v>58974.319999999949</v>
      </c>
      <c r="V62" s="9">
        <v>1074434.21</v>
      </c>
      <c r="W62" s="9">
        <v>-1016784.07</v>
      </c>
      <c r="X62" s="9">
        <v>57650.140000000014</v>
      </c>
      <c r="Y62" s="9">
        <v>1074434.21</v>
      </c>
      <c r="Z62" s="9">
        <v>-1018108.26</v>
      </c>
      <c r="AA62" s="9">
        <v>56325.949999999953</v>
      </c>
      <c r="AB62" s="9">
        <v>1074434.21</v>
      </c>
      <c r="AC62" s="9">
        <v>-1019432.45</v>
      </c>
      <c r="AD62" s="9">
        <v>55001.760000000009</v>
      </c>
      <c r="AE62" s="9">
        <v>1074434.21</v>
      </c>
      <c r="AF62" s="9">
        <v>-1020756.64</v>
      </c>
      <c r="AG62" s="9">
        <v>53677.569999999949</v>
      </c>
      <c r="AH62" s="9">
        <v>1074434.21</v>
      </c>
      <c r="AI62" s="9">
        <v>-1022080.83</v>
      </c>
      <c r="AJ62" s="9">
        <v>52353.380000000005</v>
      </c>
      <c r="AK62" s="9">
        <v>1074434.21</v>
      </c>
      <c r="AL62" s="9">
        <v>-1023405.01</v>
      </c>
      <c r="AM62" s="9">
        <v>51029.199999999953</v>
      </c>
      <c r="AN62" s="6">
        <v>1074434.21</v>
      </c>
      <c r="AO62" s="6">
        <v>-1024729.21</v>
      </c>
      <c r="AP62" s="9">
        <v>49705</v>
      </c>
    </row>
    <row r="63" spans="1:42">
      <c r="A63" t="s">
        <v>134</v>
      </c>
      <c r="B63" t="s">
        <v>163</v>
      </c>
      <c r="C63" t="s">
        <v>105</v>
      </c>
      <c r="D63" s="6">
        <v>12208292.209999997</v>
      </c>
      <c r="E63" s="6">
        <v>-11490105.4</v>
      </c>
      <c r="F63" s="9">
        <v>718186.8099999968</v>
      </c>
      <c r="G63" s="9">
        <v>12192596.209999997</v>
      </c>
      <c r="H63" s="9">
        <v>-11514858.520000001</v>
      </c>
      <c r="I63" s="9">
        <v>677737.68999999575</v>
      </c>
      <c r="J63" s="9">
        <v>12192596.209999997</v>
      </c>
      <c r="K63" s="9">
        <v>-11555307.630000001</v>
      </c>
      <c r="L63" s="9">
        <v>637288.57999999635</v>
      </c>
      <c r="M63" s="9">
        <v>12192596.209999997</v>
      </c>
      <c r="N63" s="9">
        <v>-11595756.75</v>
      </c>
      <c r="O63" s="9">
        <v>596839.45999999717</v>
      </c>
      <c r="P63" s="9">
        <v>12192596.209999997</v>
      </c>
      <c r="Q63" s="9">
        <v>-11636205.860000001</v>
      </c>
      <c r="R63" s="9">
        <v>556390.3499999959</v>
      </c>
      <c r="S63" s="9">
        <v>12192596.209999997</v>
      </c>
      <c r="T63" s="9">
        <v>-11676654.98</v>
      </c>
      <c r="U63" s="9">
        <v>515941.22999999672</v>
      </c>
      <c r="V63" s="9">
        <v>12192596.209999997</v>
      </c>
      <c r="W63" s="9">
        <v>-11717104.090000002</v>
      </c>
      <c r="X63" s="9">
        <v>475492.11999999546</v>
      </c>
      <c r="Y63" s="9">
        <v>12192596.209999997</v>
      </c>
      <c r="Z63" s="9">
        <v>-11757553.210000001</v>
      </c>
      <c r="AA63" s="9">
        <v>435042.99999999627</v>
      </c>
      <c r="AB63" s="9">
        <v>11688897.739999998</v>
      </c>
      <c r="AC63" s="9">
        <v>-11294303.840000002</v>
      </c>
      <c r="AD63" s="9">
        <v>394593.89999999665</v>
      </c>
      <c r="AE63" s="9">
        <v>11688897.739999998</v>
      </c>
      <c r="AF63" s="9">
        <v>-11334752.970000001</v>
      </c>
      <c r="AG63" s="9">
        <v>354144.76999999769</v>
      </c>
      <c r="AH63" s="9">
        <v>11688897.739999998</v>
      </c>
      <c r="AI63" s="9">
        <v>-11375202.07</v>
      </c>
      <c r="AJ63" s="9">
        <v>313695.66999999806</v>
      </c>
      <c r="AK63" s="9">
        <v>11688897.739999998</v>
      </c>
      <c r="AL63" s="9">
        <v>-11415651.190000001</v>
      </c>
      <c r="AM63" s="9">
        <v>273246.54999999702</v>
      </c>
      <c r="AN63" s="6">
        <v>11688897.739999998</v>
      </c>
      <c r="AO63" s="6">
        <v>-11456100.270000001</v>
      </c>
      <c r="AP63" s="9">
        <v>232797.46999999695</v>
      </c>
    </row>
    <row r="64" spans="1:42">
      <c r="A64" t="s">
        <v>135</v>
      </c>
      <c r="B64" t="s">
        <v>163</v>
      </c>
      <c r="C64" t="s">
        <v>105</v>
      </c>
      <c r="D64" s="6">
        <v>62731457.059999995</v>
      </c>
      <c r="E64" s="6">
        <v>-8040007.259999997</v>
      </c>
      <c r="F64" s="9">
        <v>54691449.799999997</v>
      </c>
      <c r="G64" s="9">
        <v>62731457.059999995</v>
      </c>
      <c r="H64" s="9">
        <v>-8354414.5999999968</v>
      </c>
      <c r="I64" s="9">
        <v>54377042.460000001</v>
      </c>
      <c r="J64" s="9">
        <v>62731457.059999995</v>
      </c>
      <c r="K64" s="9">
        <v>-8668821.9100000057</v>
      </c>
      <c r="L64" s="9">
        <v>54062635.149999991</v>
      </c>
      <c r="M64" s="9">
        <v>62731457.059999995</v>
      </c>
      <c r="N64" s="9">
        <v>-8983229.2500000056</v>
      </c>
      <c r="O64" s="9">
        <v>53748227.809999987</v>
      </c>
      <c r="P64" s="9">
        <v>62731457.059999995</v>
      </c>
      <c r="Q64" s="9">
        <v>-9297636.6300000045</v>
      </c>
      <c r="R64" s="9">
        <v>53433820.429999992</v>
      </c>
      <c r="S64" s="9">
        <v>62731457.059999995</v>
      </c>
      <c r="T64" s="9">
        <v>-9612043.9700000044</v>
      </c>
      <c r="U64" s="9">
        <v>53119413.089999989</v>
      </c>
      <c r="V64" s="9">
        <v>62731457.059999995</v>
      </c>
      <c r="W64" s="9">
        <v>-9926451.3700000048</v>
      </c>
      <c r="X64" s="9">
        <v>52805005.68999999</v>
      </c>
      <c r="Y64" s="9">
        <v>62731457.059999995</v>
      </c>
      <c r="Z64" s="9">
        <v>-10240858.730000004</v>
      </c>
      <c r="AA64" s="9">
        <v>52490598.329999991</v>
      </c>
      <c r="AB64" s="9">
        <v>62731457.059999995</v>
      </c>
      <c r="AC64" s="9">
        <v>-10555266.130000006</v>
      </c>
      <c r="AD64" s="9">
        <v>52176190.929999992</v>
      </c>
      <c r="AE64" s="9">
        <v>62731457.059999995</v>
      </c>
      <c r="AF64" s="9">
        <v>-10869673.480000004</v>
      </c>
      <c r="AG64" s="9">
        <v>51861783.579999991</v>
      </c>
      <c r="AH64" s="9">
        <v>62731457.059999995</v>
      </c>
      <c r="AI64" s="9">
        <v>-11184080.860000005</v>
      </c>
      <c r="AJ64" s="9">
        <v>51547376.199999988</v>
      </c>
      <c r="AK64" s="9">
        <v>62731457.059999995</v>
      </c>
      <c r="AL64" s="9">
        <v>-11498488.220000006</v>
      </c>
      <c r="AM64" s="9">
        <v>51232968.839999989</v>
      </c>
      <c r="AN64" s="6">
        <v>75274073.289999992</v>
      </c>
      <c r="AO64" s="6">
        <v>-11828093.030000005</v>
      </c>
      <c r="AP64" s="9">
        <v>63445980.25999999</v>
      </c>
    </row>
    <row r="65" spans="1:42">
      <c r="A65" t="s">
        <v>136</v>
      </c>
      <c r="B65" t="s">
        <v>163</v>
      </c>
      <c r="C65" t="s">
        <v>105</v>
      </c>
      <c r="D65" s="6">
        <v>681053.33000000007</v>
      </c>
      <c r="E65" s="6">
        <v>-527769.02</v>
      </c>
      <c r="F65" s="9">
        <v>153284.31000000006</v>
      </c>
      <c r="G65" s="9">
        <v>681053.33000000007</v>
      </c>
      <c r="H65" s="9">
        <v>-529841.79</v>
      </c>
      <c r="I65" s="9">
        <v>151211.54000000004</v>
      </c>
      <c r="J65" s="9">
        <v>681053.33000000007</v>
      </c>
      <c r="K65" s="9">
        <v>-531914.58000000007</v>
      </c>
      <c r="L65" s="9">
        <v>149138.75</v>
      </c>
      <c r="M65" s="9">
        <v>681053.33000000007</v>
      </c>
      <c r="N65" s="9">
        <v>-533987.35000000009</v>
      </c>
      <c r="O65" s="9">
        <v>147065.97999999998</v>
      </c>
      <c r="P65" s="9">
        <v>681053.33000000007</v>
      </c>
      <c r="Q65" s="9">
        <v>-536060.15</v>
      </c>
      <c r="R65" s="9">
        <v>144993.18000000005</v>
      </c>
      <c r="S65" s="9">
        <v>681053.33000000007</v>
      </c>
      <c r="T65" s="9">
        <v>-538132.92000000004</v>
      </c>
      <c r="U65" s="9">
        <v>142920.41000000003</v>
      </c>
      <c r="V65" s="9">
        <v>681053.33000000007</v>
      </c>
      <c r="W65" s="9">
        <v>-540205.72</v>
      </c>
      <c r="X65" s="9">
        <v>140847.6100000001</v>
      </c>
      <c r="Y65" s="9">
        <v>681053.33000000007</v>
      </c>
      <c r="Z65" s="9">
        <v>-542278.49</v>
      </c>
      <c r="AA65" s="9">
        <v>138774.84000000008</v>
      </c>
      <c r="AB65" s="9">
        <v>681053.33000000007</v>
      </c>
      <c r="AC65" s="9">
        <v>-544351.29</v>
      </c>
      <c r="AD65" s="9">
        <v>136702.04000000004</v>
      </c>
      <c r="AE65" s="9">
        <v>681053.33000000007</v>
      </c>
      <c r="AF65" s="9">
        <v>-546424.05999999994</v>
      </c>
      <c r="AG65" s="9">
        <v>134629.27000000014</v>
      </c>
      <c r="AH65" s="9">
        <v>681053.33000000007</v>
      </c>
      <c r="AI65" s="9">
        <v>-548496.86</v>
      </c>
      <c r="AJ65" s="9">
        <v>132556.47000000009</v>
      </c>
      <c r="AK65" s="9">
        <v>681053.33000000007</v>
      </c>
      <c r="AL65" s="9">
        <v>-550569.63</v>
      </c>
      <c r="AM65" s="9">
        <v>130483.70000000007</v>
      </c>
      <c r="AN65" s="6">
        <v>681053.33000000007</v>
      </c>
      <c r="AO65" s="6">
        <v>-552642.43000000005</v>
      </c>
      <c r="AP65" s="9">
        <v>128410.90000000002</v>
      </c>
    </row>
    <row r="66" spans="1:42">
      <c r="A66" t="s">
        <v>137</v>
      </c>
      <c r="B66" t="s">
        <v>163</v>
      </c>
      <c r="C66" t="s">
        <v>105</v>
      </c>
      <c r="D66" s="6">
        <v>18398999.690000001</v>
      </c>
      <c r="E66" s="6">
        <v>-18398999.690000005</v>
      </c>
      <c r="F66" s="9">
        <v>0</v>
      </c>
      <c r="G66" s="9">
        <v>18398999.690000001</v>
      </c>
      <c r="H66" s="9">
        <v>-18398999.690000005</v>
      </c>
      <c r="I66" s="9">
        <v>0</v>
      </c>
      <c r="J66" s="9">
        <v>18398999.690000001</v>
      </c>
      <c r="K66" s="9">
        <v>-18398999.690000005</v>
      </c>
      <c r="L66" s="9">
        <v>0</v>
      </c>
      <c r="M66" s="9">
        <v>18398999.690000001</v>
      </c>
      <c r="N66" s="9">
        <v>-18398999.690000005</v>
      </c>
      <c r="O66" s="9">
        <v>0</v>
      </c>
      <c r="P66" s="9">
        <v>18398999.690000001</v>
      </c>
      <c r="Q66" s="9">
        <v>-18398999.690000005</v>
      </c>
      <c r="R66" s="9">
        <v>0</v>
      </c>
      <c r="S66" s="9">
        <v>18398999.690000001</v>
      </c>
      <c r="T66" s="9">
        <v>-18398999.690000005</v>
      </c>
      <c r="U66" s="9">
        <v>0</v>
      </c>
      <c r="V66" s="9">
        <v>18398999.690000001</v>
      </c>
      <c r="W66" s="9">
        <v>-18398999.690000005</v>
      </c>
      <c r="X66" s="9">
        <v>0</v>
      </c>
      <c r="Y66" s="9">
        <v>18398999.690000001</v>
      </c>
      <c r="Z66" s="9">
        <v>-18398999.690000005</v>
      </c>
      <c r="AA66" s="9">
        <v>0</v>
      </c>
      <c r="AB66" s="9">
        <v>18398999.690000001</v>
      </c>
      <c r="AC66" s="9">
        <v>-18398999.690000005</v>
      </c>
      <c r="AD66" s="9">
        <v>0</v>
      </c>
      <c r="AE66" s="9">
        <v>18398999.690000001</v>
      </c>
      <c r="AF66" s="9">
        <v>-18398999.690000005</v>
      </c>
      <c r="AG66" s="9">
        <v>0</v>
      </c>
      <c r="AH66" s="9">
        <v>18398999.690000001</v>
      </c>
      <c r="AI66" s="9">
        <v>-18398999.690000005</v>
      </c>
      <c r="AJ66" s="9">
        <v>0</v>
      </c>
      <c r="AK66" s="9">
        <v>18398999.690000001</v>
      </c>
      <c r="AL66" s="9">
        <v>-18398999.690000005</v>
      </c>
      <c r="AM66" s="9">
        <v>0</v>
      </c>
      <c r="AN66" s="6">
        <v>18398999.690000001</v>
      </c>
      <c r="AO66" s="6">
        <v>-18398999.690000005</v>
      </c>
      <c r="AP66" s="9">
        <v>0</v>
      </c>
    </row>
    <row r="67" spans="1:42">
      <c r="A67" s="66"/>
      <c r="B67" s="66"/>
      <c r="C67" s="67" t="s">
        <v>41</v>
      </c>
      <c r="D67" s="68">
        <f t="shared" ref="D67:AM67" si="0">SUM(D10:D66)</f>
        <v>2758214163.3499999</v>
      </c>
      <c r="E67" s="11">
        <f t="shared" si="0"/>
        <v>-1585115686.53</v>
      </c>
      <c r="F67" s="69">
        <f t="shared" si="0"/>
        <v>1173098476.8200002</v>
      </c>
      <c r="G67" s="69">
        <f t="shared" si="0"/>
        <v>2758110460.46</v>
      </c>
      <c r="H67" s="69">
        <f t="shared" si="0"/>
        <v>-1592436370.4300001</v>
      </c>
      <c r="I67" s="69">
        <f t="shared" si="0"/>
        <v>1165674090.0300002</v>
      </c>
      <c r="J67" s="69">
        <f t="shared" si="0"/>
        <v>2757806013.3099999</v>
      </c>
      <c r="K67" s="69">
        <f t="shared" si="0"/>
        <v>-1599550758.0999994</v>
      </c>
      <c r="L67" s="69">
        <f t="shared" si="0"/>
        <v>1158255255.2100003</v>
      </c>
      <c r="M67" s="69">
        <f t="shared" si="0"/>
        <v>2757769691.48</v>
      </c>
      <c r="N67" s="69">
        <f t="shared" si="0"/>
        <v>-1606926708.9499996</v>
      </c>
      <c r="O67" s="69">
        <f t="shared" si="0"/>
        <v>1150842982.53</v>
      </c>
      <c r="P67" s="69">
        <f t="shared" si="0"/>
        <v>2757760388.98</v>
      </c>
      <c r="Q67" s="69">
        <f t="shared" si="0"/>
        <v>-1614320084.6599998</v>
      </c>
      <c r="R67" s="69">
        <f t="shared" si="0"/>
        <v>1143440304.3200004</v>
      </c>
      <c r="S67" s="69">
        <f t="shared" si="0"/>
        <v>2757731976.4000001</v>
      </c>
      <c r="T67" s="69">
        <f t="shared" si="0"/>
        <v>-1621671574.1999998</v>
      </c>
      <c r="U67" s="69">
        <f t="shared" si="0"/>
        <v>1136060402.1999998</v>
      </c>
      <c r="V67" s="69">
        <f t="shared" si="0"/>
        <v>2757731976.4000001</v>
      </c>
      <c r="W67" s="69">
        <f t="shared" si="0"/>
        <v>-1629049255.3199995</v>
      </c>
      <c r="X67" s="69">
        <f t="shared" si="0"/>
        <v>1128682721.0800002</v>
      </c>
      <c r="Y67" s="69">
        <f t="shared" si="0"/>
        <v>2757625855.48</v>
      </c>
      <c r="Z67" s="69">
        <f t="shared" si="0"/>
        <v>-1636220331.9299996</v>
      </c>
      <c r="AA67" s="69">
        <f t="shared" si="0"/>
        <v>1121405523.55</v>
      </c>
      <c r="AB67" s="69">
        <f t="shared" si="0"/>
        <v>2760116067.2599998</v>
      </c>
      <c r="AC67" s="69">
        <f t="shared" si="0"/>
        <v>-1642845087.49</v>
      </c>
      <c r="AD67" s="69">
        <f t="shared" si="0"/>
        <v>1117270979.7699997</v>
      </c>
      <c r="AE67" s="69">
        <f t="shared" si="0"/>
        <v>2761135897.7399988</v>
      </c>
      <c r="AF67" s="69">
        <f t="shared" si="0"/>
        <v>-1649928050.3799999</v>
      </c>
      <c r="AG67" s="69">
        <f t="shared" si="0"/>
        <v>1111207847.3600004</v>
      </c>
      <c r="AH67" s="69">
        <f t="shared" si="0"/>
        <v>2760425903.3999991</v>
      </c>
      <c r="AI67" s="69">
        <f t="shared" si="0"/>
        <v>-1656571624.7799995</v>
      </c>
      <c r="AJ67" s="69">
        <f t="shared" si="0"/>
        <v>1103854278.6199999</v>
      </c>
      <c r="AK67" s="69">
        <f t="shared" si="0"/>
        <v>2767129768.9299994</v>
      </c>
      <c r="AL67" s="69">
        <f t="shared" si="0"/>
        <v>-1664119368.79</v>
      </c>
      <c r="AM67" s="69">
        <f t="shared" si="0"/>
        <v>1103010400.1400003</v>
      </c>
      <c r="AN67" s="11">
        <f>SUBTOTAL(9,AN10:AN66)</f>
        <v>3073069495.9900002</v>
      </c>
      <c r="AO67" s="11">
        <f>SUBTOTAL(9,AO10:AO66)</f>
        <v>-1678370152.4499998</v>
      </c>
      <c r="AP67" s="11">
        <f>SUBTOTAL(9,AP10:AP66)</f>
        <v>1394699343.5400002</v>
      </c>
    </row>
    <row r="68" spans="1:42">
      <c r="AN68" s="9"/>
      <c r="AO68" s="9"/>
    </row>
    <row r="69" spans="1:42">
      <c r="AO69" s="9"/>
    </row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3ECA8-711B-41D9-8D1A-8F90248A3FB1}">
  <sheetPr>
    <tabColor rgb="FF0070C0"/>
  </sheetPr>
  <dimension ref="A1:N81"/>
  <sheetViews>
    <sheetView zoomScaleNormal="100" workbookViewId="0"/>
  </sheetViews>
  <sheetFormatPr defaultRowHeight="15"/>
  <cols>
    <col min="1" max="1" width="5.7109375" customWidth="1"/>
    <col min="2" max="2" width="42.42578125" bestFit="1" customWidth="1"/>
    <col min="3" max="3" width="63.5703125" bestFit="1" customWidth="1"/>
    <col min="4" max="4" width="15.85546875" customWidth="1"/>
    <col min="5" max="5" width="14.28515625" bestFit="1" customWidth="1"/>
    <col min="6" max="6" width="18.85546875" customWidth="1"/>
    <col min="7" max="7" width="1.42578125" customWidth="1"/>
    <col min="8" max="8" width="30.85546875" bestFit="1" customWidth="1"/>
    <col min="9" max="9" width="16.28515625" bestFit="1" customWidth="1"/>
    <col min="10" max="10" width="17.85546875" bestFit="1" customWidth="1"/>
    <col min="11" max="11" width="16.7109375" bestFit="1" customWidth="1"/>
    <col min="12" max="12" width="16.42578125" customWidth="1"/>
    <col min="13" max="13" width="15.28515625" bestFit="1" customWidth="1"/>
    <col min="14" max="14" width="14.28515625" bestFit="1" customWidth="1"/>
    <col min="15" max="15" width="15.28515625" bestFit="1" customWidth="1"/>
    <col min="16" max="16" width="12" bestFit="1" customWidth="1"/>
  </cols>
  <sheetData>
    <row r="1" spans="1:14">
      <c r="A1" s="12" t="str">
        <f>TOC!A1</f>
        <v>Colorado Springs Utilities</v>
      </c>
    </row>
    <row r="2" spans="1:14">
      <c r="A2" s="13" t="str">
        <f>TOC!A2</f>
        <v>2027 Transmission Formula Rate (TFR) Backup</v>
      </c>
    </row>
    <row r="4" spans="1:14">
      <c r="A4" s="12" t="s">
        <v>496</v>
      </c>
    </row>
    <row r="5" spans="1:14">
      <c r="A5" s="14" t="str">
        <f>UPPER(VLOOKUP(A$4,TOC!$A$7:$C$39,3,FALSE))</f>
        <v>ELECTRIC CAPITAL</v>
      </c>
    </row>
    <row r="6" spans="1:14">
      <c r="A6" s="12" t="s">
        <v>750</v>
      </c>
    </row>
    <row r="7" spans="1:14">
      <c r="A7" s="93"/>
      <c r="B7" s="93"/>
      <c r="C7" s="93"/>
      <c r="D7" t="s">
        <v>760</v>
      </c>
    </row>
    <row r="8" spans="1:14" s="44" customFormat="1" ht="45">
      <c r="A8" s="51" t="s">
        <v>155</v>
      </c>
      <c r="B8" s="51" t="s">
        <v>472</v>
      </c>
      <c r="C8" s="51" t="s">
        <v>144</v>
      </c>
      <c r="D8" s="51" t="s">
        <v>693</v>
      </c>
      <c r="E8" s="51" t="s">
        <v>692</v>
      </c>
      <c r="F8" s="51" t="s">
        <v>806</v>
      </c>
    </row>
    <row r="9" spans="1:14" s="44" customFormat="1">
      <c r="A9" s="76" t="s">
        <v>505</v>
      </c>
      <c r="B9" s="76" t="s">
        <v>506</v>
      </c>
      <c r="C9" s="76" t="s">
        <v>507</v>
      </c>
      <c r="D9" s="76" t="s">
        <v>508</v>
      </c>
      <c r="E9" s="76" t="s">
        <v>509</v>
      </c>
      <c r="F9" s="76" t="s">
        <v>510</v>
      </c>
    </row>
    <row r="10" spans="1:14" s="44" customFormat="1" ht="7.5" customHeight="1">
      <c r="D10" s="51"/>
      <c r="E10" s="51"/>
      <c r="F10" s="51"/>
    </row>
    <row r="11" spans="1:14" ht="15" customHeight="1">
      <c r="A11">
        <v>1</v>
      </c>
      <c r="B11" t="s">
        <v>105</v>
      </c>
      <c r="C11" t="s">
        <v>432</v>
      </c>
      <c r="D11" s="4">
        <v>1500000</v>
      </c>
      <c r="E11" s="48">
        <v>1600241.32</v>
      </c>
      <c r="F11" s="4">
        <f t="shared" ref="F11:F19" si="0">IF(E11="","",SUM(D11:E11))</f>
        <v>3100241.3200000003</v>
      </c>
      <c r="I11" s="30" t="s">
        <v>419</v>
      </c>
      <c r="N11" s="266" t="s">
        <v>615</v>
      </c>
    </row>
    <row r="12" spans="1:14">
      <c r="A12">
        <f>A11+1</f>
        <v>2</v>
      </c>
      <c r="B12" t="s">
        <v>202</v>
      </c>
      <c r="C12" t="s">
        <v>434</v>
      </c>
      <c r="D12" s="4">
        <v>249000</v>
      </c>
      <c r="E12" s="48">
        <v>337640.45</v>
      </c>
      <c r="F12" s="4">
        <f t="shared" si="0"/>
        <v>586640.44999999995</v>
      </c>
      <c r="I12" t="s">
        <v>105</v>
      </c>
      <c r="J12" t="s">
        <v>202</v>
      </c>
      <c r="K12" t="s">
        <v>217</v>
      </c>
      <c r="L12" t="s">
        <v>759</v>
      </c>
      <c r="M12" t="s">
        <v>41</v>
      </c>
      <c r="N12" s="266"/>
    </row>
    <row r="13" spans="1:14">
      <c r="A13">
        <f t="shared" ref="A13:A75" si="1">A12+1</f>
        <v>3</v>
      </c>
      <c r="B13" t="s">
        <v>217</v>
      </c>
      <c r="C13" t="s">
        <v>435</v>
      </c>
      <c r="D13" s="4">
        <v>1354000</v>
      </c>
      <c r="E13" s="48">
        <v>1274404.47</v>
      </c>
      <c r="F13" s="4">
        <f t="shared" si="0"/>
        <v>2628404.4699999997</v>
      </c>
      <c r="H13" t="s">
        <v>807</v>
      </c>
      <c r="I13" s="9">
        <v>87489009.590000018</v>
      </c>
      <c r="J13" s="9">
        <v>21269194.714000002</v>
      </c>
      <c r="K13" s="9">
        <v>163558719.40599999</v>
      </c>
      <c r="L13" s="9">
        <v>9245461.7299999986</v>
      </c>
      <c r="M13" s="9">
        <v>281562385.44000006</v>
      </c>
      <c r="N13" s="266"/>
    </row>
    <row r="14" spans="1:14">
      <c r="A14">
        <f t="shared" si="1"/>
        <v>4</v>
      </c>
      <c r="B14" t="s">
        <v>217</v>
      </c>
      <c r="C14" t="s">
        <v>595</v>
      </c>
      <c r="D14" s="4">
        <v>9900</v>
      </c>
      <c r="E14" s="48">
        <v>13199.73</v>
      </c>
      <c r="F14" s="4">
        <f t="shared" si="0"/>
        <v>23099.73</v>
      </c>
      <c r="N14" s="266"/>
    </row>
    <row r="15" spans="1:14">
      <c r="A15">
        <f t="shared" si="1"/>
        <v>5</v>
      </c>
      <c r="B15" t="s">
        <v>217</v>
      </c>
      <c r="C15" t="s">
        <v>436</v>
      </c>
      <c r="D15" s="4">
        <v>3850000</v>
      </c>
      <c r="E15" s="48">
        <v>1394509.48</v>
      </c>
      <c r="F15" s="4">
        <f t="shared" si="0"/>
        <v>5244509.4800000004</v>
      </c>
      <c r="H15" t="s">
        <v>604</v>
      </c>
      <c r="I15" s="19">
        <f>-F18</f>
        <v>-81599683.230000004</v>
      </c>
      <c r="N15" s="266"/>
    </row>
    <row r="16" spans="1:14">
      <c r="A16">
        <f t="shared" si="1"/>
        <v>6</v>
      </c>
      <c r="B16" t="s">
        <v>217</v>
      </c>
      <c r="C16" t="s">
        <v>437</v>
      </c>
      <c r="D16" s="4">
        <v>3150000</v>
      </c>
      <c r="E16" s="48">
        <v>3526649.45</v>
      </c>
      <c r="F16" s="4">
        <f t="shared" si="0"/>
        <v>6676649.4500000002</v>
      </c>
      <c r="H16" t="s">
        <v>614</v>
      </c>
      <c r="I16" s="19">
        <f>D74</f>
        <v>34984978</v>
      </c>
      <c r="N16" s="266"/>
    </row>
    <row r="17" spans="1:12">
      <c r="A17">
        <f t="shared" si="1"/>
        <v>7</v>
      </c>
      <c r="B17" t="s">
        <v>105</v>
      </c>
      <c r="C17" t="s">
        <v>438</v>
      </c>
      <c r="D17" s="4">
        <v>50000</v>
      </c>
      <c r="E17" s="48">
        <v>271587</v>
      </c>
      <c r="F17" s="4">
        <f t="shared" si="0"/>
        <v>321587</v>
      </c>
    </row>
    <row r="18" spans="1:12">
      <c r="A18">
        <f t="shared" si="1"/>
        <v>8</v>
      </c>
      <c r="B18" t="s">
        <v>105</v>
      </c>
      <c r="C18" t="s">
        <v>433</v>
      </c>
      <c r="D18" s="4">
        <v>73151230</v>
      </c>
      <c r="E18" s="48">
        <v>8448453.2300000004</v>
      </c>
      <c r="F18" s="4">
        <f t="shared" si="0"/>
        <v>81599683.230000004</v>
      </c>
    </row>
    <row r="19" spans="1:12">
      <c r="A19">
        <f t="shared" si="1"/>
        <v>9</v>
      </c>
      <c r="B19" t="s">
        <v>105</v>
      </c>
      <c r="C19" t="s">
        <v>751</v>
      </c>
      <c r="D19" s="4">
        <v>23778</v>
      </c>
      <c r="E19" s="48">
        <v>10714.8</v>
      </c>
      <c r="F19" s="4">
        <f t="shared" si="0"/>
        <v>34492.800000000003</v>
      </c>
    </row>
    <row r="20" spans="1:12">
      <c r="A20">
        <f t="shared" si="1"/>
        <v>10</v>
      </c>
      <c r="B20" t="s">
        <v>217</v>
      </c>
      <c r="C20" t="s">
        <v>801</v>
      </c>
      <c r="D20" s="4">
        <v>0</v>
      </c>
      <c r="E20" s="48">
        <v>1451516.72</v>
      </c>
      <c r="F20" s="4">
        <f t="shared" ref="F20:F72" si="2">IF(E20="","",SUM(D20:E20))</f>
        <v>1451516.72</v>
      </c>
      <c r="I20" s="9"/>
      <c r="J20" s="9"/>
      <c r="K20" s="9"/>
      <c r="L20" s="9"/>
    </row>
    <row r="21" spans="1:12">
      <c r="A21">
        <f t="shared" si="1"/>
        <v>11</v>
      </c>
      <c r="B21" t="s">
        <v>105</v>
      </c>
      <c r="C21" t="s">
        <v>441</v>
      </c>
      <c r="D21" s="4">
        <v>576068</v>
      </c>
      <c r="E21" s="48">
        <v>442911.37</v>
      </c>
      <c r="F21" s="4">
        <f t="shared" si="2"/>
        <v>1018979.37</v>
      </c>
    </row>
    <row r="22" spans="1:12">
      <c r="A22">
        <f t="shared" si="1"/>
        <v>12</v>
      </c>
      <c r="B22" t="s">
        <v>217</v>
      </c>
      <c r="C22" t="s">
        <v>596</v>
      </c>
      <c r="D22" s="4">
        <v>1658952</v>
      </c>
      <c r="E22" s="48">
        <v>764866.34</v>
      </c>
      <c r="F22" s="4">
        <f t="shared" si="2"/>
        <v>2423818.34</v>
      </c>
    </row>
    <row r="23" spans="1:12">
      <c r="A23">
        <f t="shared" si="1"/>
        <v>13</v>
      </c>
      <c r="B23" t="s">
        <v>217</v>
      </c>
      <c r="C23" t="s">
        <v>597</v>
      </c>
      <c r="D23" s="4">
        <v>4307856</v>
      </c>
      <c r="E23" s="48">
        <v>951.12</v>
      </c>
      <c r="F23" s="4">
        <f t="shared" si="2"/>
        <v>4308807.12</v>
      </c>
      <c r="J23" s="9"/>
    </row>
    <row r="24" spans="1:12">
      <c r="A24">
        <f t="shared" si="1"/>
        <v>14</v>
      </c>
      <c r="B24" t="s">
        <v>105</v>
      </c>
      <c r="C24" t="s">
        <v>752</v>
      </c>
      <c r="D24" s="4">
        <v>312400</v>
      </c>
      <c r="E24" s="48">
        <v>50596.959999999999</v>
      </c>
      <c r="F24" s="4">
        <f t="shared" si="2"/>
        <v>362996.96</v>
      </c>
    </row>
    <row r="25" spans="1:12">
      <c r="A25">
        <f t="shared" si="1"/>
        <v>15</v>
      </c>
      <c r="B25" t="s">
        <v>217</v>
      </c>
      <c r="C25" t="s">
        <v>442</v>
      </c>
      <c r="D25" s="4">
        <v>165410</v>
      </c>
      <c r="E25" s="48">
        <v>0</v>
      </c>
      <c r="F25" s="4">
        <f t="shared" si="2"/>
        <v>165410</v>
      </c>
    </row>
    <row r="26" spans="1:12">
      <c r="A26">
        <f t="shared" si="1"/>
        <v>16</v>
      </c>
      <c r="B26" t="s">
        <v>202</v>
      </c>
      <c r="C26" t="s">
        <v>443</v>
      </c>
      <c r="D26" s="4">
        <v>237778</v>
      </c>
      <c r="E26" s="48">
        <v>32564.37</v>
      </c>
      <c r="F26" s="4">
        <f t="shared" si="2"/>
        <v>270342.37</v>
      </c>
    </row>
    <row r="27" spans="1:12">
      <c r="A27">
        <f t="shared" si="1"/>
        <v>17</v>
      </c>
      <c r="B27" t="s">
        <v>217</v>
      </c>
      <c r="C27" t="s">
        <v>439</v>
      </c>
      <c r="D27" s="4">
        <v>660000</v>
      </c>
      <c r="E27" s="48">
        <v>205822.46</v>
      </c>
      <c r="F27" s="4">
        <f t="shared" si="2"/>
        <v>865822.46</v>
      </c>
    </row>
    <row r="28" spans="1:12">
      <c r="A28">
        <f t="shared" si="1"/>
        <v>18</v>
      </c>
      <c r="B28" t="s">
        <v>105</v>
      </c>
      <c r="C28" t="s">
        <v>440</v>
      </c>
      <c r="D28" s="4">
        <v>32400</v>
      </c>
      <c r="E28" s="48">
        <v>0</v>
      </c>
      <c r="F28" s="4">
        <f t="shared" si="2"/>
        <v>32400</v>
      </c>
    </row>
    <row r="29" spans="1:12">
      <c r="A29">
        <f t="shared" si="1"/>
        <v>19</v>
      </c>
      <c r="B29" t="s">
        <v>759</v>
      </c>
      <c r="C29" t="s">
        <v>753</v>
      </c>
      <c r="D29" s="4">
        <v>5154425</v>
      </c>
      <c r="E29" s="48">
        <v>3284672.84</v>
      </c>
      <c r="F29" s="4">
        <f t="shared" si="2"/>
        <v>8439097.8399999999</v>
      </c>
    </row>
    <row r="30" spans="1:12">
      <c r="A30">
        <f t="shared" si="1"/>
        <v>20</v>
      </c>
      <c r="B30" t="s">
        <v>759</v>
      </c>
      <c r="C30" t="s">
        <v>444</v>
      </c>
      <c r="D30" s="4">
        <v>285000</v>
      </c>
      <c r="E30" s="48">
        <v>0</v>
      </c>
      <c r="F30" s="4">
        <f t="shared" si="2"/>
        <v>285000</v>
      </c>
    </row>
    <row r="31" spans="1:12">
      <c r="A31">
        <f t="shared" si="1"/>
        <v>21</v>
      </c>
      <c r="B31" t="s">
        <v>759</v>
      </c>
      <c r="C31" t="s">
        <v>802</v>
      </c>
      <c r="D31" s="4">
        <v>0</v>
      </c>
      <c r="E31" s="48">
        <v>-78637.14</v>
      </c>
      <c r="F31" s="4">
        <f t="shared" si="2"/>
        <v>-78637.14</v>
      </c>
    </row>
    <row r="32" spans="1:12">
      <c r="A32">
        <f t="shared" si="1"/>
        <v>22</v>
      </c>
      <c r="B32" t="s">
        <v>759</v>
      </c>
      <c r="C32" t="s">
        <v>445</v>
      </c>
      <c r="D32" s="4">
        <v>275000</v>
      </c>
      <c r="E32" s="48">
        <v>1.03</v>
      </c>
      <c r="F32" s="4">
        <f t="shared" si="2"/>
        <v>275001.03000000003</v>
      </c>
    </row>
    <row r="33" spans="1:6">
      <c r="A33">
        <f t="shared" si="1"/>
        <v>23</v>
      </c>
      <c r="B33" t="s">
        <v>759</v>
      </c>
      <c r="C33" t="s">
        <v>598</v>
      </c>
      <c r="D33" s="4">
        <v>120000</v>
      </c>
      <c r="E33" s="48">
        <v>0</v>
      </c>
      <c r="F33" s="4">
        <f t="shared" si="2"/>
        <v>120000</v>
      </c>
    </row>
    <row r="34" spans="1:6">
      <c r="A34">
        <f t="shared" si="1"/>
        <v>24</v>
      </c>
      <c r="B34" t="s">
        <v>759</v>
      </c>
      <c r="C34" t="s">
        <v>803</v>
      </c>
      <c r="D34" s="4">
        <v>0</v>
      </c>
      <c r="E34" s="48">
        <v>0</v>
      </c>
      <c r="F34" s="4">
        <f t="shared" si="2"/>
        <v>0</v>
      </c>
    </row>
    <row r="35" spans="1:6">
      <c r="A35">
        <f t="shared" si="1"/>
        <v>25</v>
      </c>
      <c r="B35" t="s">
        <v>105</v>
      </c>
      <c r="C35" t="s">
        <v>754</v>
      </c>
      <c r="D35" s="4">
        <v>320000</v>
      </c>
      <c r="E35" s="48">
        <v>102.48</v>
      </c>
      <c r="F35" s="4">
        <f t="shared" si="2"/>
        <v>320102.48</v>
      </c>
    </row>
    <row r="36" spans="1:6">
      <c r="A36">
        <f t="shared" si="1"/>
        <v>26</v>
      </c>
      <c r="B36" t="s">
        <v>759</v>
      </c>
      <c r="C36" t="s">
        <v>446</v>
      </c>
      <c r="D36" s="4">
        <v>75000</v>
      </c>
      <c r="E36" s="48">
        <v>0</v>
      </c>
      <c r="F36" s="4">
        <f t="shared" si="2"/>
        <v>75000</v>
      </c>
    </row>
    <row r="37" spans="1:6">
      <c r="A37">
        <f t="shared" si="1"/>
        <v>27</v>
      </c>
      <c r="B37" t="s">
        <v>105</v>
      </c>
      <c r="C37" t="s">
        <v>447</v>
      </c>
      <c r="D37" s="4">
        <v>50000</v>
      </c>
      <c r="E37" s="48">
        <v>0</v>
      </c>
      <c r="F37" s="4">
        <f t="shared" si="2"/>
        <v>50000</v>
      </c>
    </row>
    <row r="38" spans="1:6">
      <c r="A38">
        <f t="shared" si="1"/>
        <v>28</v>
      </c>
      <c r="B38" t="s">
        <v>759</v>
      </c>
      <c r="C38" t="s">
        <v>755</v>
      </c>
      <c r="D38" s="4">
        <v>100000</v>
      </c>
      <c r="E38" s="48">
        <v>0</v>
      </c>
      <c r="F38" s="4">
        <f t="shared" si="2"/>
        <v>100000</v>
      </c>
    </row>
    <row r="39" spans="1:6">
      <c r="A39">
        <f t="shared" si="1"/>
        <v>29</v>
      </c>
      <c r="B39" t="s">
        <v>105</v>
      </c>
      <c r="C39" t="s">
        <v>756</v>
      </c>
      <c r="D39" s="4">
        <v>370000</v>
      </c>
      <c r="E39" s="48">
        <v>102.48</v>
      </c>
      <c r="F39" s="4">
        <f t="shared" si="2"/>
        <v>370102.48</v>
      </c>
    </row>
    <row r="40" spans="1:6">
      <c r="A40">
        <f t="shared" si="1"/>
        <v>30</v>
      </c>
      <c r="B40" t="s">
        <v>759</v>
      </c>
      <c r="C40" t="s">
        <v>448</v>
      </c>
      <c r="D40" s="4">
        <v>30000</v>
      </c>
      <c r="E40" s="48">
        <v>0</v>
      </c>
      <c r="F40" s="4">
        <f t="shared" si="2"/>
        <v>30000</v>
      </c>
    </row>
    <row r="41" spans="1:6">
      <c r="A41">
        <f t="shared" si="1"/>
        <v>31</v>
      </c>
      <c r="B41" t="s">
        <v>105</v>
      </c>
      <c r="C41" t="s">
        <v>449</v>
      </c>
      <c r="D41" s="4">
        <v>25000</v>
      </c>
      <c r="E41" s="48">
        <v>0</v>
      </c>
      <c r="F41" s="4">
        <f t="shared" si="2"/>
        <v>25000</v>
      </c>
    </row>
    <row r="42" spans="1:6">
      <c r="A42">
        <f t="shared" si="1"/>
        <v>32</v>
      </c>
      <c r="B42" t="s">
        <v>202</v>
      </c>
      <c r="C42" t="s">
        <v>599</v>
      </c>
      <c r="D42" s="4">
        <v>850000</v>
      </c>
      <c r="E42" s="48">
        <v>423138.27</v>
      </c>
      <c r="F42" s="4">
        <f t="shared" si="2"/>
        <v>1273138.27</v>
      </c>
    </row>
    <row r="43" spans="1:6">
      <c r="A43">
        <f t="shared" si="1"/>
        <v>33</v>
      </c>
      <c r="B43" t="s">
        <v>202</v>
      </c>
      <c r="C43" t="s">
        <v>691</v>
      </c>
      <c r="D43" s="4">
        <v>948612</v>
      </c>
      <c r="E43" s="48">
        <v>541884.87</v>
      </c>
      <c r="F43" s="4">
        <f t="shared" si="2"/>
        <v>1490496.87</v>
      </c>
    </row>
    <row r="44" spans="1:6">
      <c r="A44">
        <f t="shared" si="1"/>
        <v>34</v>
      </c>
      <c r="B44" t="s">
        <v>202</v>
      </c>
      <c r="C44" t="s">
        <v>450</v>
      </c>
      <c r="D44" s="4">
        <v>40000</v>
      </c>
      <c r="E44" s="48">
        <v>4248.8999999999996</v>
      </c>
      <c r="F44" s="4">
        <f t="shared" si="2"/>
        <v>44248.9</v>
      </c>
    </row>
    <row r="45" spans="1:6">
      <c r="A45">
        <f t="shared" si="1"/>
        <v>35</v>
      </c>
      <c r="B45" t="s">
        <v>105</v>
      </c>
      <c r="C45" t="s">
        <v>462</v>
      </c>
      <c r="D45" s="4">
        <v>50000</v>
      </c>
      <c r="E45" s="48">
        <v>203423.95</v>
      </c>
      <c r="F45" s="4">
        <f t="shared" si="2"/>
        <v>253423.95</v>
      </c>
    </row>
    <row r="46" spans="1:6">
      <c r="A46">
        <f t="shared" si="1"/>
        <v>36</v>
      </c>
      <c r="B46" t="s">
        <v>202</v>
      </c>
      <c r="C46" t="s">
        <v>600</v>
      </c>
      <c r="D46" s="4">
        <v>325000</v>
      </c>
      <c r="E46" s="48">
        <v>70946.070000000007</v>
      </c>
      <c r="F46" s="4">
        <f t="shared" si="2"/>
        <v>395946.07</v>
      </c>
    </row>
    <row r="47" spans="1:6">
      <c r="A47">
        <f t="shared" si="1"/>
        <v>37</v>
      </c>
      <c r="B47" t="s">
        <v>217</v>
      </c>
      <c r="C47" t="s">
        <v>601</v>
      </c>
      <c r="D47" s="4">
        <v>5448947</v>
      </c>
      <c r="E47" s="48">
        <v>403210.86</v>
      </c>
      <c r="F47" s="4">
        <f t="shared" si="2"/>
        <v>5852157.8600000003</v>
      </c>
    </row>
    <row r="48" spans="1:6">
      <c r="A48">
        <f t="shared" si="1"/>
        <v>38</v>
      </c>
      <c r="B48" t="s">
        <v>217</v>
      </c>
      <c r="C48" t="s">
        <v>757</v>
      </c>
      <c r="D48" s="4">
        <v>700000</v>
      </c>
      <c r="E48" s="48">
        <v>0</v>
      </c>
      <c r="F48" s="4">
        <f t="shared" si="2"/>
        <v>700000</v>
      </c>
    </row>
    <row r="49" spans="1:6">
      <c r="A49">
        <f t="shared" si="1"/>
        <v>39</v>
      </c>
      <c r="B49" t="s">
        <v>217</v>
      </c>
      <c r="C49" t="s">
        <v>451</v>
      </c>
      <c r="D49" s="4">
        <v>6312133</v>
      </c>
      <c r="E49" s="48">
        <v>3636177.45</v>
      </c>
      <c r="F49" s="4">
        <f t="shared" si="2"/>
        <v>9948310.4499999993</v>
      </c>
    </row>
    <row r="50" spans="1:6">
      <c r="A50">
        <f t="shared" si="1"/>
        <v>40</v>
      </c>
      <c r="B50" t="s">
        <v>217</v>
      </c>
      <c r="C50" t="s">
        <v>452</v>
      </c>
      <c r="D50" s="4">
        <v>2569640</v>
      </c>
      <c r="E50" s="48">
        <v>2058516.68</v>
      </c>
      <c r="F50" s="4">
        <f t="shared" si="2"/>
        <v>4628156.68</v>
      </c>
    </row>
    <row r="51" spans="1:6">
      <c r="A51">
        <f t="shared" si="1"/>
        <v>41</v>
      </c>
      <c r="B51" t="s">
        <v>217</v>
      </c>
      <c r="C51" t="s">
        <v>453</v>
      </c>
      <c r="D51" s="4">
        <v>1600000</v>
      </c>
      <c r="E51" s="48">
        <v>811295.18</v>
      </c>
      <c r="F51" s="4">
        <f t="shared" si="2"/>
        <v>2411295.1800000002</v>
      </c>
    </row>
    <row r="52" spans="1:6">
      <c r="A52">
        <f t="shared" si="1"/>
        <v>42</v>
      </c>
      <c r="B52" t="s">
        <v>217</v>
      </c>
      <c r="C52" t="s">
        <v>454</v>
      </c>
      <c r="D52" s="4">
        <v>132529</v>
      </c>
      <c r="E52" s="48">
        <v>282219.5</v>
      </c>
      <c r="F52" s="4">
        <f t="shared" si="2"/>
        <v>414748.5</v>
      </c>
    </row>
    <row r="53" spans="1:6">
      <c r="A53">
        <f t="shared" si="1"/>
        <v>43</v>
      </c>
      <c r="B53" t="s">
        <v>217</v>
      </c>
      <c r="C53" t="s">
        <v>455</v>
      </c>
      <c r="D53" s="4">
        <v>3156833</v>
      </c>
      <c r="E53" s="48">
        <v>2702648.8</v>
      </c>
      <c r="F53" s="4">
        <f t="shared" si="2"/>
        <v>5859481.7999999998</v>
      </c>
    </row>
    <row r="54" spans="1:6">
      <c r="A54">
        <f t="shared" si="1"/>
        <v>44</v>
      </c>
      <c r="B54" t="s">
        <v>217</v>
      </c>
      <c r="C54" t="s">
        <v>804</v>
      </c>
      <c r="D54" s="4">
        <v>0</v>
      </c>
      <c r="E54" s="48">
        <v>1214161.01</v>
      </c>
      <c r="F54" s="4">
        <f t="shared" si="2"/>
        <v>1214161.01</v>
      </c>
    </row>
    <row r="55" spans="1:6">
      <c r="A55">
        <f t="shared" si="1"/>
        <v>45</v>
      </c>
      <c r="B55" t="s">
        <v>217</v>
      </c>
      <c r="C55" t="s">
        <v>456</v>
      </c>
      <c r="D55" s="4">
        <v>550000</v>
      </c>
      <c r="E55" s="48">
        <v>72841.78</v>
      </c>
      <c r="F55" s="4">
        <f t="shared" si="2"/>
        <v>622841.78</v>
      </c>
    </row>
    <row r="56" spans="1:6">
      <c r="A56">
        <f t="shared" si="1"/>
        <v>46</v>
      </c>
      <c r="B56" t="s">
        <v>217</v>
      </c>
      <c r="C56" t="s">
        <v>457</v>
      </c>
      <c r="D56" s="4">
        <v>270000</v>
      </c>
      <c r="E56" s="48">
        <v>220004.95</v>
      </c>
      <c r="F56" s="4">
        <f t="shared" si="2"/>
        <v>490004.95</v>
      </c>
    </row>
    <row r="57" spans="1:6">
      <c r="A57">
        <f t="shared" si="1"/>
        <v>47</v>
      </c>
      <c r="B57" t="s">
        <v>217</v>
      </c>
      <c r="C57" t="s">
        <v>458</v>
      </c>
      <c r="D57" s="4">
        <v>848375</v>
      </c>
      <c r="E57" s="48">
        <v>1351289.3</v>
      </c>
      <c r="F57" s="4">
        <f t="shared" si="2"/>
        <v>2199664.2999999998</v>
      </c>
    </row>
    <row r="58" spans="1:6">
      <c r="A58">
        <f t="shared" si="1"/>
        <v>48</v>
      </c>
      <c r="B58" t="s">
        <v>217</v>
      </c>
      <c r="C58" t="s">
        <v>459</v>
      </c>
      <c r="D58" s="4">
        <v>3038873</v>
      </c>
      <c r="E58" s="48">
        <v>2643270.46</v>
      </c>
      <c r="F58" s="4">
        <f t="shared" si="2"/>
        <v>5682143.46</v>
      </c>
    </row>
    <row r="59" spans="1:6">
      <c r="A59">
        <f t="shared" si="1"/>
        <v>49</v>
      </c>
      <c r="B59" t="s">
        <v>202</v>
      </c>
      <c r="C59" t="s">
        <v>758</v>
      </c>
      <c r="D59" s="4">
        <v>200000</v>
      </c>
      <c r="E59" s="48">
        <v>0</v>
      </c>
      <c r="F59" s="4">
        <f t="shared" si="2"/>
        <v>200000</v>
      </c>
    </row>
    <row r="60" spans="1:6">
      <c r="A60">
        <f t="shared" si="1"/>
        <v>50</v>
      </c>
      <c r="B60" t="s">
        <v>202</v>
      </c>
      <c r="C60" t="s">
        <v>817</v>
      </c>
      <c r="D60" s="4">
        <v>800000</v>
      </c>
      <c r="E60" s="4">
        <v>16206047.724000001</v>
      </c>
      <c r="F60" s="4">
        <f t="shared" si="2"/>
        <v>17006047.723999999</v>
      </c>
    </row>
    <row r="61" spans="1:6">
      <c r="A61">
        <f t="shared" si="1"/>
        <v>51</v>
      </c>
      <c r="B61" t="s">
        <v>217</v>
      </c>
      <c r="C61" t="s">
        <v>818</v>
      </c>
      <c r="D61" s="279">
        <v>1200000</v>
      </c>
      <c r="E61" s="279">
        <v>24309071.585999999</v>
      </c>
      <c r="F61" s="4">
        <f t="shared" si="2"/>
        <v>25509071.585999999</v>
      </c>
    </row>
    <row r="62" spans="1:6">
      <c r="A62">
        <f t="shared" si="1"/>
        <v>52</v>
      </c>
      <c r="B62" t="s">
        <v>217</v>
      </c>
      <c r="C62" t="s">
        <v>460</v>
      </c>
      <c r="D62" s="4">
        <v>1300000</v>
      </c>
      <c r="E62" s="48">
        <v>2309766.81</v>
      </c>
      <c r="F62" s="4">
        <f t="shared" si="2"/>
        <v>3609766.81</v>
      </c>
    </row>
    <row r="63" spans="1:6">
      <c r="A63">
        <f t="shared" si="1"/>
        <v>53</v>
      </c>
      <c r="B63" t="s">
        <v>217</v>
      </c>
      <c r="C63" t="s">
        <v>461</v>
      </c>
      <c r="D63" s="4">
        <v>10561988</v>
      </c>
      <c r="E63" s="48">
        <v>9308900.3499999996</v>
      </c>
      <c r="F63" s="4">
        <f t="shared" si="2"/>
        <v>19870888.350000001</v>
      </c>
    </row>
    <row r="64" spans="1:6">
      <c r="A64">
        <f t="shared" si="1"/>
        <v>54</v>
      </c>
      <c r="B64" t="s">
        <v>217</v>
      </c>
      <c r="C64" t="s">
        <v>463</v>
      </c>
      <c r="D64" s="4">
        <v>4050088</v>
      </c>
      <c r="E64" s="48">
        <v>1542227.55</v>
      </c>
      <c r="F64" s="4">
        <f t="shared" si="2"/>
        <v>5592315.5499999998</v>
      </c>
    </row>
    <row r="65" spans="1:11">
      <c r="A65">
        <f t="shared" si="1"/>
        <v>55</v>
      </c>
      <c r="B65" t="s">
        <v>217</v>
      </c>
      <c r="C65" t="s">
        <v>464</v>
      </c>
      <c r="D65" s="4">
        <v>3216571</v>
      </c>
      <c r="E65" s="48">
        <v>5712523.8499999996</v>
      </c>
      <c r="F65" s="4">
        <f t="shared" si="2"/>
        <v>8929094.8499999996</v>
      </c>
    </row>
    <row r="66" spans="1:11">
      <c r="A66">
        <f t="shared" si="1"/>
        <v>56</v>
      </c>
      <c r="B66" t="s">
        <v>217</v>
      </c>
      <c r="C66" t="s">
        <v>465</v>
      </c>
      <c r="D66" s="4">
        <v>1900000</v>
      </c>
      <c r="E66" s="48">
        <v>240.62</v>
      </c>
      <c r="F66" s="4">
        <f t="shared" si="2"/>
        <v>1900240.62</v>
      </c>
    </row>
    <row r="67" spans="1:11">
      <c r="A67">
        <f t="shared" si="1"/>
        <v>57</v>
      </c>
      <c r="B67" t="s">
        <v>217</v>
      </c>
      <c r="C67" t="s">
        <v>466</v>
      </c>
      <c r="D67" s="4">
        <v>5934000</v>
      </c>
      <c r="E67" s="48">
        <v>3476839.42</v>
      </c>
      <c r="F67" s="4">
        <f t="shared" si="2"/>
        <v>9410839.4199999999</v>
      </c>
    </row>
    <row r="68" spans="1:11">
      <c r="A68">
        <f t="shared" si="1"/>
        <v>58</v>
      </c>
      <c r="B68" t="s">
        <v>217</v>
      </c>
      <c r="C68" t="s">
        <v>467</v>
      </c>
      <c r="D68" s="4">
        <v>3806284</v>
      </c>
      <c r="E68" s="48">
        <v>5746248.7000000002</v>
      </c>
      <c r="F68" s="4">
        <f t="shared" si="2"/>
        <v>9552532.6999999993</v>
      </c>
    </row>
    <row r="69" spans="1:11">
      <c r="A69">
        <f t="shared" si="1"/>
        <v>59</v>
      </c>
      <c r="B69" t="s">
        <v>217</v>
      </c>
      <c r="C69" t="s">
        <v>468</v>
      </c>
      <c r="D69" s="4">
        <v>750000</v>
      </c>
      <c r="E69" s="48">
        <v>2095163.88</v>
      </c>
      <c r="F69" s="4">
        <f t="shared" si="2"/>
        <v>2845163.88</v>
      </c>
    </row>
    <row r="70" spans="1:11">
      <c r="A70">
        <f t="shared" si="1"/>
        <v>60</v>
      </c>
      <c r="B70" t="s">
        <v>217</v>
      </c>
      <c r="C70" t="s">
        <v>602</v>
      </c>
      <c r="D70" s="4">
        <v>1518000</v>
      </c>
      <c r="E70" s="48">
        <v>418459.25</v>
      </c>
      <c r="F70" s="4">
        <f t="shared" si="2"/>
        <v>1936459.25</v>
      </c>
    </row>
    <row r="71" spans="1:11">
      <c r="A71">
        <f t="shared" si="1"/>
        <v>61</v>
      </c>
      <c r="B71" t="s">
        <v>217</v>
      </c>
      <c r="C71" t="s">
        <v>603</v>
      </c>
      <c r="D71" s="4">
        <v>6500000</v>
      </c>
      <c r="E71" s="48">
        <v>4091342.65</v>
      </c>
      <c r="F71" s="4">
        <f t="shared" si="2"/>
        <v>10591342.65</v>
      </c>
    </row>
    <row r="72" spans="1:11">
      <c r="A72">
        <f t="shared" si="1"/>
        <v>62</v>
      </c>
      <c r="B72" t="s">
        <v>202</v>
      </c>
      <c r="C72" t="s">
        <v>805</v>
      </c>
      <c r="D72" s="4">
        <v>0</v>
      </c>
      <c r="E72" s="48">
        <v>2334.06</v>
      </c>
      <c r="F72" s="4">
        <f t="shared" si="2"/>
        <v>2334.06</v>
      </c>
    </row>
    <row r="73" spans="1:11">
      <c r="A73">
        <f t="shared" si="1"/>
        <v>63</v>
      </c>
      <c r="C73" t="s">
        <v>470</v>
      </c>
      <c r="D73" s="278">
        <f>SUM(D11:D72)</f>
        <v>166671070</v>
      </c>
      <c r="E73" s="278">
        <f>SUM(E11:E72)</f>
        <v>114891315.44</v>
      </c>
      <c r="F73" s="278">
        <f>SUM(F11:F72)</f>
        <v>281562385.44</v>
      </c>
    </row>
    <row r="74" spans="1:11">
      <c r="A74">
        <f t="shared" si="1"/>
        <v>64</v>
      </c>
      <c r="C74" t="s">
        <v>469</v>
      </c>
      <c r="D74" s="19">
        <f>24923595+10061383</f>
        <v>34984978</v>
      </c>
      <c r="F74" s="19">
        <f>D74</f>
        <v>34984978</v>
      </c>
    </row>
    <row r="75" spans="1:11">
      <c r="A75">
        <f t="shared" si="1"/>
        <v>65</v>
      </c>
      <c r="C75" t="s">
        <v>471</v>
      </c>
      <c r="D75" s="19">
        <f>SUM(D73:D74)</f>
        <v>201656048</v>
      </c>
      <c r="F75" s="19">
        <f>SUM(F73,F74)</f>
        <v>316547363.44</v>
      </c>
    </row>
    <row r="76" spans="1:11">
      <c r="D76" s="19"/>
      <c r="K76" s="19"/>
    </row>
    <row r="77" spans="1:11">
      <c r="A77" s="206" t="s">
        <v>808</v>
      </c>
      <c r="D77" s="19"/>
    </row>
    <row r="78" spans="1:11">
      <c r="D78" s="19"/>
    </row>
    <row r="79" spans="1:11">
      <c r="D79" s="9"/>
      <c r="E79" s="9"/>
      <c r="F79" s="9"/>
    </row>
    <row r="80" spans="1:11">
      <c r="D80" s="6"/>
    </row>
    <row r="81" spans="4:6">
      <c r="D81" s="4"/>
      <c r="E81" s="48"/>
      <c r="F81" s="4"/>
    </row>
  </sheetData>
  <mergeCells count="1">
    <mergeCell ref="N11:N16"/>
  </mergeCells>
  <pageMargins left="0.7" right="0.7" top="0.75" bottom="0.75" header="0.3" footer="0.3"/>
  <pageSetup scale="75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EA160-4B2D-413C-A0FF-485141C23D1C}">
  <sheetPr>
    <tabColor rgb="FF0070C0"/>
  </sheetPr>
  <dimension ref="A1:P82"/>
  <sheetViews>
    <sheetView zoomScaleNormal="100" workbookViewId="0"/>
  </sheetViews>
  <sheetFormatPr defaultColWidth="11.42578125" defaultRowHeight="15"/>
  <cols>
    <col min="1" max="1" width="6" style="77" customWidth="1"/>
    <col min="2" max="2" width="1.42578125" style="77" customWidth="1"/>
    <col min="3" max="3" width="14.85546875" style="77" bestFit="1" customWidth="1"/>
    <col min="4" max="4" width="1.42578125" style="77" customWidth="1"/>
    <col min="5" max="5" width="18.140625" style="77" bestFit="1" customWidth="1"/>
    <col min="6" max="6" width="1.42578125" style="77" customWidth="1"/>
    <col min="7" max="7" width="16" style="77" bestFit="1" customWidth="1"/>
    <col min="8" max="8" width="18.28515625" style="77" customWidth="1"/>
    <col min="9" max="9" width="1.42578125" style="77" customWidth="1"/>
    <col min="10" max="10" width="15.140625" style="77" customWidth="1"/>
    <col min="11" max="11" width="16.5703125" style="77" customWidth="1"/>
    <col min="12" max="12" width="1.42578125" style="77" customWidth="1"/>
    <col min="13" max="13" width="16.5703125" style="77" customWidth="1"/>
    <col min="14" max="14" width="1.5703125" style="77" customWidth="1"/>
    <col min="15" max="15" width="19.5703125" style="77" bestFit="1" customWidth="1"/>
    <col min="16" max="16" width="16" style="77" bestFit="1" customWidth="1"/>
    <col min="17" max="16384" width="11.42578125" style="77"/>
  </cols>
  <sheetData>
    <row r="1" spans="1:15" s="75" customFormat="1" ht="15.75">
      <c r="A1" s="123" t="str">
        <f>TOC!A1</f>
        <v>Colorado Springs Utilities</v>
      </c>
      <c r="B1" s="126"/>
      <c r="C1" s="126"/>
      <c r="D1" s="126"/>
      <c r="E1" s="127"/>
    </row>
    <row r="2" spans="1:15" s="75" customFormat="1" ht="15.75">
      <c r="A2" s="124" t="str">
        <f>TOC!A2</f>
        <v>2027 Transmission Formula Rate (TFR) Backup</v>
      </c>
      <c r="B2" s="126"/>
      <c r="C2" s="126"/>
      <c r="D2" s="126"/>
      <c r="E2" s="127"/>
    </row>
    <row r="3" spans="1:15" s="75" customFormat="1" ht="15.75">
      <c r="A3" s="128"/>
      <c r="B3" s="126"/>
      <c r="C3" s="126"/>
      <c r="D3" s="126"/>
      <c r="E3" s="127"/>
    </row>
    <row r="4" spans="1:15" s="75" customFormat="1" ht="15.75">
      <c r="A4" s="123" t="s">
        <v>497</v>
      </c>
      <c r="B4" s="126"/>
      <c r="C4" s="126"/>
      <c r="D4" s="126"/>
      <c r="E4" s="127"/>
    </row>
    <row r="5" spans="1:15" s="75" customFormat="1" ht="15.75">
      <c r="A5" s="125" t="str">
        <f>UPPER(VLOOKUP(A$4,TOC!$A$7:$C$39,3,FALSE))</f>
        <v>DEBT SERVICE AND INTEREST</v>
      </c>
      <c r="B5" s="126"/>
      <c r="C5" s="126"/>
      <c r="D5" s="126"/>
      <c r="E5" s="127"/>
    </row>
    <row r="7" spans="1:15" s="95" customFormat="1" ht="51" customHeight="1" thickBot="1">
      <c r="A7" s="221" t="s">
        <v>155</v>
      </c>
      <c r="B7" s="222"/>
      <c r="C7" s="221" t="s">
        <v>551</v>
      </c>
      <c r="D7" s="222"/>
      <c r="E7" s="221" t="s">
        <v>552</v>
      </c>
      <c r="F7" s="222"/>
      <c r="G7" s="221" t="s">
        <v>553</v>
      </c>
      <c r="H7" s="221" t="s">
        <v>554</v>
      </c>
      <c r="I7" s="222"/>
      <c r="J7" s="221" t="s">
        <v>555</v>
      </c>
      <c r="K7" s="221" t="s">
        <v>556</v>
      </c>
      <c r="L7" s="222"/>
      <c r="M7" s="221" t="s">
        <v>557</v>
      </c>
      <c r="N7" s="223"/>
      <c r="O7" s="221" t="s">
        <v>558</v>
      </c>
    </row>
    <row r="8" spans="1:15">
      <c r="A8" s="139" t="s">
        <v>505</v>
      </c>
      <c r="B8" s="224"/>
      <c r="C8" s="139" t="s">
        <v>506</v>
      </c>
      <c r="D8" s="224"/>
      <c r="E8" s="139" t="s">
        <v>507</v>
      </c>
      <c r="F8" s="224"/>
      <c r="G8" s="139" t="s">
        <v>508</v>
      </c>
      <c r="H8" s="139" t="s">
        <v>509</v>
      </c>
      <c r="I8" s="224"/>
      <c r="J8" s="139" t="s">
        <v>510</v>
      </c>
      <c r="K8" s="139" t="s">
        <v>511</v>
      </c>
      <c r="L8" s="224"/>
      <c r="M8" s="139" t="s">
        <v>512</v>
      </c>
      <c r="N8" s="224"/>
      <c r="O8" s="139" t="s">
        <v>513</v>
      </c>
    </row>
    <row r="9" spans="1:15">
      <c r="A9" s="225"/>
      <c r="B9" s="226"/>
      <c r="C9" s="225"/>
      <c r="D9" s="226"/>
      <c r="E9" s="225"/>
      <c r="F9" s="226"/>
      <c r="G9" s="225"/>
      <c r="H9" s="225"/>
      <c r="I9" s="226"/>
      <c r="J9" s="227" t="s">
        <v>647</v>
      </c>
      <c r="K9" s="227" t="s">
        <v>650</v>
      </c>
      <c r="L9" s="226"/>
      <c r="M9" s="227" t="s">
        <v>652</v>
      </c>
      <c r="N9" s="226"/>
      <c r="O9" s="227" t="s">
        <v>651</v>
      </c>
    </row>
    <row r="10" spans="1:15" ht="6" customHeight="1">
      <c r="A10" s="225"/>
      <c r="B10" s="226"/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</row>
    <row r="11" spans="1:15">
      <c r="A11" s="228">
        <v>1</v>
      </c>
      <c r="B11" s="226"/>
      <c r="C11" s="226" t="s">
        <v>559</v>
      </c>
      <c r="D11" s="226"/>
      <c r="E11" s="229">
        <f>_xlfn.XLOOKUP(C11,'WP8 Amortization of prem or dis'!$V$12:$V$53,'WP8 Amortization of prem or dis'!$W$12:$W$53,0,0,1)</f>
        <v>0.29099999999999998</v>
      </c>
      <c r="F11" s="226"/>
      <c r="G11" s="230">
        <v>4600</v>
      </c>
      <c r="H11" s="230">
        <v>2370.4604104109585</v>
      </c>
      <c r="I11" s="230"/>
      <c r="J11" s="230">
        <f>E11*G11</f>
        <v>1338.6</v>
      </c>
      <c r="K11" s="230">
        <f>$E11*H11</f>
        <v>689.80397942958894</v>
      </c>
      <c r="L11" s="226"/>
      <c r="M11" s="230">
        <f>J11+K11</f>
        <v>2028.4039794295888</v>
      </c>
      <c r="N11" s="226"/>
      <c r="O11" s="230">
        <f>M11*1000</f>
        <v>2028403.9794295889</v>
      </c>
    </row>
    <row r="12" spans="1:15">
      <c r="A12" s="231">
        <f>IF($C12="","",IF(A11="",A10+1,A11+1))</f>
        <v>2</v>
      </c>
      <c r="B12" s="226"/>
      <c r="C12" s="226" t="s">
        <v>560</v>
      </c>
      <c r="D12" s="226"/>
      <c r="E12" s="229">
        <f>_xlfn.XLOOKUP(C12,'WP8 Amortization of prem or dis'!$V$12:$V$53,'WP8 Amortization of prem or dis'!$W$12:$W$53,0,0,1)</f>
        <v>3.1800000000000002E-2</v>
      </c>
      <c r="F12" s="226"/>
      <c r="G12" s="230">
        <v>3325</v>
      </c>
      <c r="H12" s="230">
        <v>1733.5838438356161</v>
      </c>
      <c r="I12" s="230"/>
      <c r="J12" s="230">
        <f t="shared" ref="J12:J23" si="0">E12*G12</f>
        <v>105.735</v>
      </c>
      <c r="K12" s="230">
        <f t="shared" ref="K12:K23" si="1">$E12*H12</f>
        <v>55.127966233972593</v>
      </c>
      <c r="L12" s="226"/>
      <c r="M12" s="230">
        <f t="shared" ref="M12:M23" si="2">J12+K12</f>
        <v>160.8629662339726</v>
      </c>
      <c r="N12" s="226"/>
      <c r="O12" s="230">
        <f>M12*1000</f>
        <v>160862.96623397261</v>
      </c>
    </row>
    <row r="13" spans="1:15">
      <c r="A13" s="231">
        <f t="shared" ref="A13:A57" si="3">IF($C13="","",IF(A12="",A11+1,A12+1))</f>
        <v>3</v>
      </c>
      <c r="B13" s="226"/>
      <c r="C13" s="226" t="s">
        <v>561</v>
      </c>
      <c r="D13" s="226"/>
      <c r="E13" s="229">
        <f>_xlfn.XLOOKUP(C13,'WP8 Amortization of prem or dis'!$V$12:$V$53,'WP8 Amortization of prem or dis'!$W$12:$W$53,0,0,1)</f>
        <v>0.25819999999999999</v>
      </c>
      <c r="F13" s="226"/>
      <c r="G13" s="230">
        <v>2995</v>
      </c>
      <c r="H13" s="230">
        <v>1256.0346517808218</v>
      </c>
      <c r="I13" s="230"/>
      <c r="J13" s="230">
        <f t="shared" si="0"/>
        <v>773.30899999999997</v>
      </c>
      <c r="K13" s="230">
        <f t="shared" si="1"/>
        <v>324.30814708980819</v>
      </c>
      <c r="L13" s="226"/>
      <c r="M13" s="230">
        <f t="shared" si="2"/>
        <v>1097.6171470898082</v>
      </c>
      <c r="N13" s="226"/>
      <c r="O13" s="230">
        <f t="shared" ref="O13:O55" si="4">M13*1000</f>
        <v>1097617.1470898082</v>
      </c>
    </row>
    <row r="14" spans="1:15">
      <c r="A14" s="231">
        <f t="shared" si="3"/>
        <v>4</v>
      </c>
      <c r="B14" s="226"/>
      <c r="C14" s="226" t="s">
        <v>562</v>
      </c>
      <c r="D14" s="226"/>
      <c r="E14" s="229">
        <f>_xlfn.XLOOKUP(C14,'WP8 Amortization of prem or dis'!$V$12:$V$53,'WP8 Amortization of prem or dis'!$W$12:$W$53,0,0,1)</f>
        <v>0.49780000000000002</v>
      </c>
      <c r="F14" s="226"/>
      <c r="G14" s="230">
        <v>1810</v>
      </c>
      <c r="H14" s="230">
        <v>1195.9026707945204</v>
      </c>
      <c r="I14" s="230"/>
      <c r="J14" s="230">
        <f t="shared" si="0"/>
        <v>901.01800000000003</v>
      </c>
      <c r="K14" s="230">
        <f t="shared" si="1"/>
        <v>595.3203495215123</v>
      </c>
      <c r="L14" s="226"/>
      <c r="M14" s="230">
        <f t="shared" si="2"/>
        <v>1496.3383495215123</v>
      </c>
      <c r="N14" s="226"/>
      <c r="O14" s="230">
        <f t="shared" si="4"/>
        <v>1496338.3495215124</v>
      </c>
    </row>
    <row r="15" spans="1:15">
      <c r="A15" s="231">
        <f t="shared" si="3"/>
        <v>5</v>
      </c>
      <c r="B15" s="226"/>
      <c r="C15" s="226" t="s">
        <v>563</v>
      </c>
      <c r="D15" s="226"/>
      <c r="E15" s="229">
        <f>_xlfn.XLOOKUP(C15,'WP8 Amortization of prem or dis'!$V$12:$V$53,'WP8 Amortization of prem or dis'!$W$12:$W$53,0,0,1)</f>
        <v>0.16569999999999999</v>
      </c>
      <c r="F15" s="226"/>
      <c r="G15" s="230">
        <v>2895</v>
      </c>
      <c r="H15" s="230">
        <v>2580.5149999999999</v>
      </c>
      <c r="I15" s="230"/>
      <c r="J15" s="230">
        <f t="shared" si="0"/>
        <v>479.70149999999995</v>
      </c>
      <c r="K15" s="230">
        <f t="shared" si="1"/>
        <v>427.59133549999996</v>
      </c>
      <c r="L15" s="226"/>
      <c r="M15" s="230">
        <f t="shared" si="2"/>
        <v>907.29283549999991</v>
      </c>
      <c r="N15" s="226"/>
      <c r="O15" s="230">
        <f t="shared" si="4"/>
        <v>907292.83549999993</v>
      </c>
    </row>
    <row r="16" spans="1:15">
      <c r="A16" s="231">
        <f t="shared" si="3"/>
        <v>6</v>
      </c>
      <c r="B16" s="226"/>
      <c r="C16" s="226" t="s">
        <v>564</v>
      </c>
      <c r="D16" s="226"/>
      <c r="E16" s="229">
        <f>_xlfn.XLOOKUP(C16,'WP8 Amortization of prem or dis'!$V$12:$V$53,'WP8 Amortization of prem or dis'!$W$12:$W$53,0,0,1)</f>
        <v>0.72619999999999996</v>
      </c>
      <c r="F16" s="226"/>
      <c r="G16" s="230">
        <v>5575</v>
      </c>
      <c r="H16" s="230">
        <v>2759.4825000000001</v>
      </c>
      <c r="I16" s="230"/>
      <c r="J16" s="230">
        <f t="shared" si="0"/>
        <v>4048.5649999999996</v>
      </c>
      <c r="K16" s="230">
        <f t="shared" si="1"/>
        <v>2003.9361914999999</v>
      </c>
      <c r="L16" s="226"/>
      <c r="M16" s="230">
        <f t="shared" si="2"/>
        <v>6052.5011914999995</v>
      </c>
      <c r="N16" s="226"/>
      <c r="O16" s="230">
        <f t="shared" si="4"/>
        <v>6052501.1914999997</v>
      </c>
    </row>
    <row r="17" spans="1:15">
      <c r="A17" s="231">
        <f t="shared" si="3"/>
        <v>7</v>
      </c>
      <c r="B17" s="226"/>
      <c r="C17" s="226" t="s">
        <v>565</v>
      </c>
      <c r="D17" s="226"/>
      <c r="E17" s="229">
        <f>_xlfn.XLOOKUP(C17,'WP8 Amortization of prem or dis'!$V$12:$V$53,'WP8 Amortization of prem or dis'!$W$12:$W$53,0,0,1)</f>
        <v>0</v>
      </c>
      <c r="F17" s="226"/>
      <c r="G17" s="230">
        <v>1255</v>
      </c>
      <c r="H17" s="230">
        <v>2806.8006600000003</v>
      </c>
      <c r="I17" s="230"/>
      <c r="J17" s="230">
        <f t="shared" si="0"/>
        <v>0</v>
      </c>
      <c r="K17" s="230">
        <f t="shared" si="1"/>
        <v>0</v>
      </c>
      <c r="L17" s="226"/>
      <c r="M17" s="230">
        <f t="shared" si="2"/>
        <v>0</v>
      </c>
      <c r="N17" s="226"/>
      <c r="O17" s="230">
        <f t="shared" si="4"/>
        <v>0</v>
      </c>
    </row>
    <row r="18" spans="1:15">
      <c r="A18" s="231">
        <f t="shared" si="3"/>
        <v>8</v>
      </c>
      <c r="B18" s="226"/>
      <c r="C18" s="226" t="s">
        <v>566</v>
      </c>
      <c r="D18" s="226"/>
      <c r="E18" s="229">
        <f>_xlfn.XLOOKUP(C18,'WP8 Amortization of prem or dis'!$V$12:$V$53,'WP8 Amortization of prem or dis'!$W$12:$W$53,0,0,1)</f>
        <v>0</v>
      </c>
      <c r="F18" s="226"/>
      <c r="G18" s="230">
        <v>500.21442000000002</v>
      </c>
      <c r="H18" s="230">
        <v>48.8339</v>
      </c>
      <c r="I18" s="230"/>
      <c r="J18" s="230">
        <f t="shared" si="0"/>
        <v>0</v>
      </c>
      <c r="K18" s="230">
        <f t="shared" si="1"/>
        <v>0</v>
      </c>
      <c r="L18" s="226"/>
      <c r="M18" s="230">
        <f t="shared" si="2"/>
        <v>0</v>
      </c>
      <c r="N18" s="226"/>
      <c r="O18" s="230">
        <f t="shared" si="4"/>
        <v>0</v>
      </c>
    </row>
    <row r="19" spans="1:15">
      <c r="A19" s="231">
        <f t="shared" si="3"/>
        <v>9</v>
      </c>
      <c r="B19" s="226"/>
      <c r="C19" s="226" t="s">
        <v>567</v>
      </c>
      <c r="D19" s="226"/>
      <c r="E19" s="229">
        <f>_xlfn.XLOOKUP(C19,'WP8 Amortization of prem or dis'!$V$12:$V$53,'WP8 Amortization of prem or dis'!$W$12:$W$53,0,0,1)</f>
        <v>0.61839999999999995</v>
      </c>
      <c r="F19" s="226"/>
      <c r="G19" s="230">
        <v>1670</v>
      </c>
      <c r="H19" s="230">
        <v>1183.5422652328768</v>
      </c>
      <c r="I19" s="230"/>
      <c r="J19" s="230">
        <f t="shared" si="0"/>
        <v>1032.7279999999998</v>
      </c>
      <c r="K19" s="230">
        <f t="shared" si="1"/>
        <v>731.90253682001094</v>
      </c>
      <c r="L19" s="226"/>
      <c r="M19" s="230">
        <f t="shared" si="2"/>
        <v>1764.6305368200108</v>
      </c>
      <c r="N19" s="226"/>
      <c r="O19" s="230">
        <f t="shared" si="4"/>
        <v>1764630.5368200107</v>
      </c>
    </row>
    <row r="20" spans="1:15">
      <c r="A20" s="231">
        <f t="shared" si="3"/>
        <v>10</v>
      </c>
      <c r="B20" s="226"/>
      <c r="C20" s="226" t="s">
        <v>568</v>
      </c>
      <c r="D20" s="226"/>
      <c r="E20" s="229">
        <f>_xlfn.XLOOKUP(C20,'WP8 Amortization of prem or dis'!$V$12:$V$53,'WP8 Amortization of prem or dis'!$W$12:$W$53,0,0,1)</f>
        <v>1</v>
      </c>
      <c r="F20" s="226"/>
      <c r="G20" s="230">
        <v>0</v>
      </c>
      <c r="H20" s="230">
        <v>7095.2489999999998</v>
      </c>
      <c r="I20" s="230"/>
      <c r="J20" s="230">
        <f t="shared" si="0"/>
        <v>0</v>
      </c>
      <c r="K20" s="230">
        <f t="shared" si="1"/>
        <v>7095.2489999999998</v>
      </c>
      <c r="L20" s="226"/>
      <c r="M20" s="230">
        <f t="shared" si="2"/>
        <v>7095.2489999999998</v>
      </c>
      <c r="N20" s="226"/>
      <c r="O20" s="230">
        <f t="shared" si="4"/>
        <v>7095249</v>
      </c>
    </row>
    <row r="21" spans="1:15">
      <c r="A21" s="231">
        <f t="shared" si="3"/>
        <v>11</v>
      </c>
      <c r="B21" s="226"/>
      <c r="C21" s="226" t="s">
        <v>569</v>
      </c>
      <c r="D21" s="226"/>
      <c r="E21" s="229">
        <f>_xlfn.XLOOKUP(C21,'WP8 Amortization of prem or dis'!$V$12:$V$53,'WP8 Amortization of prem or dis'!$W$12:$W$53,0,0,1)</f>
        <v>0.62429999999999997</v>
      </c>
      <c r="F21" s="226"/>
      <c r="G21" s="230">
        <v>1600</v>
      </c>
      <c r="H21" s="230">
        <v>1293.945678082192</v>
      </c>
      <c r="I21" s="230"/>
      <c r="J21" s="230">
        <f t="shared" si="0"/>
        <v>998.88</v>
      </c>
      <c r="K21" s="230">
        <f t="shared" si="1"/>
        <v>807.8102868267124</v>
      </c>
      <c r="L21" s="226"/>
      <c r="M21" s="230">
        <f t="shared" si="2"/>
        <v>1806.6902868267125</v>
      </c>
      <c r="N21" s="226"/>
      <c r="O21" s="230">
        <f t="shared" si="4"/>
        <v>1806690.2868267125</v>
      </c>
    </row>
    <row r="22" spans="1:15">
      <c r="A22" s="231">
        <f t="shared" si="3"/>
        <v>12</v>
      </c>
      <c r="B22" s="226"/>
      <c r="C22" s="226" t="s">
        <v>618</v>
      </c>
      <c r="D22" s="226"/>
      <c r="E22" s="229">
        <f>_xlfn.XLOOKUP(C22,'WP8 Amortization of prem or dis'!$V$12:$V$53,'WP8 Amortization of prem or dis'!$W$12:$W$53,0,0,1)</f>
        <v>0.1356</v>
      </c>
      <c r="F22" s="226"/>
      <c r="G22" s="230">
        <v>0</v>
      </c>
      <c r="H22" s="230">
        <v>0</v>
      </c>
      <c r="I22" s="230"/>
      <c r="J22" s="230">
        <f t="shared" si="0"/>
        <v>0</v>
      </c>
      <c r="K22" s="230">
        <f t="shared" si="1"/>
        <v>0</v>
      </c>
      <c r="L22" s="226"/>
      <c r="M22" s="230">
        <f t="shared" si="2"/>
        <v>0</v>
      </c>
      <c r="N22" s="226"/>
      <c r="O22" s="230">
        <f t="shared" si="4"/>
        <v>0</v>
      </c>
    </row>
    <row r="23" spans="1:15">
      <c r="A23" s="231">
        <f t="shared" si="3"/>
        <v>13</v>
      </c>
      <c r="B23" s="226"/>
      <c r="C23" s="226" t="s">
        <v>619</v>
      </c>
      <c r="D23" s="226"/>
      <c r="E23" s="229">
        <f>_xlfn.XLOOKUP(C23,'WP8 Amortization of prem or dis'!$V$12:$V$53,'WP8 Amortization of prem or dis'!$W$12:$W$53,0,0,1)</f>
        <v>0</v>
      </c>
      <c r="F23" s="226"/>
      <c r="G23" s="230">
        <v>0</v>
      </c>
      <c r="H23" s="230">
        <v>0</v>
      </c>
      <c r="I23" s="230"/>
      <c r="J23" s="230">
        <f t="shared" si="0"/>
        <v>0</v>
      </c>
      <c r="K23" s="230">
        <f t="shared" si="1"/>
        <v>0</v>
      </c>
      <c r="L23" s="226"/>
      <c r="M23" s="230">
        <f t="shared" si="2"/>
        <v>0</v>
      </c>
      <c r="N23" s="226"/>
      <c r="O23" s="230">
        <f t="shared" si="4"/>
        <v>0</v>
      </c>
    </row>
    <row r="24" spans="1:15">
      <c r="A24" s="231">
        <f t="shared" si="3"/>
        <v>14</v>
      </c>
      <c r="B24" s="226"/>
      <c r="C24" s="226" t="s">
        <v>570</v>
      </c>
      <c r="D24" s="226"/>
      <c r="E24" s="229">
        <f>_xlfn.XLOOKUP(C24,'WP8 Amortization of prem or dis'!$V$12:$V$53,'WP8 Amortization of prem or dis'!$W$12:$W$53,0,0,1)</f>
        <v>0.1933</v>
      </c>
      <c r="F24" s="226"/>
      <c r="G24" s="230">
        <v>0</v>
      </c>
      <c r="H24" s="230">
        <v>0</v>
      </c>
      <c r="I24" s="230"/>
      <c r="J24" s="230">
        <f t="shared" ref="J24:J34" si="5">E24*G24</f>
        <v>0</v>
      </c>
      <c r="K24" s="230">
        <f t="shared" ref="K24:K34" si="6">$E24*H24</f>
        <v>0</v>
      </c>
      <c r="L24" s="226"/>
      <c r="M24" s="230">
        <f t="shared" ref="M24:M34" si="7">J24+K24</f>
        <v>0</v>
      </c>
      <c r="N24" s="226"/>
      <c r="O24" s="230">
        <f t="shared" ref="O24:O34" si="8">M24*1000</f>
        <v>0</v>
      </c>
    </row>
    <row r="25" spans="1:15">
      <c r="A25" s="231">
        <f t="shared" si="3"/>
        <v>15</v>
      </c>
      <c r="B25" s="226"/>
      <c r="C25" s="226" t="s">
        <v>571</v>
      </c>
      <c r="D25" s="226"/>
      <c r="E25" s="229">
        <f>_xlfn.XLOOKUP(C25,'WP8 Amortization of prem or dis'!$V$12:$V$53,'WP8 Amortization of prem or dis'!$W$12:$W$53,0,0,1)</f>
        <v>0</v>
      </c>
      <c r="F25" s="226"/>
      <c r="G25" s="230">
        <v>0</v>
      </c>
      <c r="H25" s="230">
        <v>0</v>
      </c>
      <c r="I25" s="230"/>
      <c r="J25" s="230">
        <f t="shared" si="5"/>
        <v>0</v>
      </c>
      <c r="K25" s="230">
        <f t="shared" si="6"/>
        <v>0</v>
      </c>
      <c r="L25" s="226"/>
      <c r="M25" s="230">
        <f t="shared" si="7"/>
        <v>0</v>
      </c>
      <c r="N25" s="226"/>
      <c r="O25" s="230">
        <f t="shared" si="8"/>
        <v>0</v>
      </c>
    </row>
    <row r="26" spans="1:15">
      <c r="A26" s="231">
        <f t="shared" si="3"/>
        <v>16</v>
      </c>
      <c r="B26" s="226"/>
      <c r="C26" s="226" t="s">
        <v>572</v>
      </c>
      <c r="D26" s="226"/>
      <c r="E26" s="229">
        <f>_xlfn.XLOOKUP(C26,'WP8 Amortization of prem or dis'!$V$12:$V$53,'WP8 Amortization of prem or dis'!$W$12:$W$53,0,0,1)</f>
        <v>0</v>
      </c>
      <c r="F26" s="226"/>
      <c r="G26" s="230">
        <v>0</v>
      </c>
      <c r="H26" s="230">
        <v>0</v>
      </c>
      <c r="I26" s="230"/>
      <c r="J26" s="230">
        <f t="shared" si="5"/>
        <v>0</v>
      </c>
      <c r="K26" s="230">
        <f t="shared" si="6"/>
        <v>0</v>
      </c>
      <c r="L26" s="226"/>
      <c r="M26" s="230">
        <f t="shared" si="7"/>
        <v>0</v>
      </c>
      <c r="N26" s="226"/>
      <c r="O26" s="230">
        <f t="shared" si="8"/>
        <v>0</v>
      </c>
    </row>
    <row r="27" spans="1:15">
      <c r="A27" s="231">
        <f t="shared" si="3"/>
        <v>17</v>
      </c>
      <c r="B27" s="226"/>
      <c r="C27" s="226" t="s">
        <v>573</v>
      </c>
      <c r="D27" s="226"/>
      <c r="E27" s="229">
        <f>_xlfn.XLOOKUP(C27,'WP8 Amortization of prem or dis'!$V$12:$V$53,'WP8 Amortization of prem or dis'!$W$12:$W$53,0,0,1)</f>
        <v>0</v>
      </c>
      <c r="F27" s="226"/>
      <c r="G27" s="230">
        <v>0</v>
      </c>
      <c r="H27" s="230">
        <v>0</v>
      </c>
      <c r="I27" s="230"/>
      <c r="J27" s="230">
        <f t="shared" si="5"/>
        <v>0</v>
      </c>
      <c r="K27" s="230">
        <f t="shared" si="6"/>
        <v>0</v>
      </c>
      <c r="L27" s="226"/>
      <c r="M27" s="230">
        <f t="shared" si="7"/>
        <v>0</v>
      </c>
      <c r="N27" s="226"/>
      <c r="O27" s="230">
        <f t="shared" si="8"/>
        <v>0</v>
      </c>
    </row>
    <row r="28" spans="1:15">
      <c r="A28" s="231">
        <f t="shared" si="3"/>
        <v>18</v>
      </c>
      <c r="B28" s="226"/>
      <c r="C28" s="226" t="s">
        <v>574</v>
      </c>
      <c r="D28" s="226"/>
      <c r="E28" s="229">
        <f>_xlfn.XLOOKUP(C28,'WP8 Amortization of prem or dis'!$V$12:$V$53,'WP8 Amortization of prem or dis'!$W$12:$W$53,0,0,1)</f>
        <v>0</v>
      </c>
      <c r="F28" s="226"/>
      <c r="G28" s="230">
        <v>0</v>
      </c>
      <c r="H28" s="230">
        <v>0</v>
      </c>
      <c r="I28" s="230"/>
      <c r="J28" s="230">
        <f t="shared" si="5"/>
        <v>0</v>
      </c>
      <c r="K28" s="230">
        <f t="shared" si="6"/>
        <v>0</v>
      </c>
      <c r="L28" s="226"/>
      <c r="M28" s="230">
        <f t="shared" si="7"/>
        <v>0</v>
      </c>
      <c r="N28" s="226"/>
      <c r="O28" s="230">
        <f t="shared" si="8"/>
        <v>0</v>
      </c>
    </row>
    <row r="29" spans="1:15">
      <c r="A29" s="231">
        <f t="shared" si="3"/>
        <v>19</v>
      </c>
      <c r="B29" s="226"/>
      <c r="C29" s="226" t="s">
        <v>575</v>
      </c>
      <c r="D29" s="226"/>
      <c r="E29" s="229">
        <f>_xlfn.XLOOKUP(C29,'WP8 Amortization of prem or dis'!$V$12:$V$53,'WP8 Amortization of prem or dis'!$W$12:$W$53,0,0,1)</f>
        <v>0.24529999999999999</v>
      </c>
      <c r="F29" s="226"/>
      <c r="G29" s="230">
        <v>0</v>
      </c>
      <c r="H29" s="230">
        <v>281.60000000000002</v>
      </c>
      <c r="I29" s="230"/>
      <c r="J29" s="230">
        <f t="shared" si="5"/>
        <v>0</v>
      </c>
      <c r="K29" s="230">
        <f t="shared" si="6"/>
        <v>69.076480000000004</v>
      </c>
      <c r="L29" s="226"/>
      <c r="M29" s="230">
        <f t="shared" si="7"/>
        <v>69.076480000000004</v>
      </c>
      <c r="N29" s="226"/>
      <c r="O29" s="230">
        <f t="shared" si="8"/>
        <v>69076.48000000001</v>
      </c>
    </row>
    <row r="30" spans="1:15">
      <c r="A30" s="231">
        <f t="shared" si="3"/>
        <v>20</v>
      </c>
      <c r="B30" s="226"/>
      <c r="C30" s="226" t="s">
        <v>576</v>
      </c>
      <c r="D30" s="226"/>
      <c r="E30" s="229">
        <f>_xlfn.XLOOKUP(C30,'WP8 Amortization of prem or dis'!$V$12:$V$53,'WP8 Amortization of prem or dis'!$W$12:$W$53,0,0,1)</f>
        <v>0.69387030533986904</v>
      </c>
      <c r="F30" s="226"/>
      <c r="G30" s="230">
        <v>3480</v>
      </c>
      <c r="H30" s="230">
        <v>2943.3812599999997</v>
      </c>
      <c r="I30" s="230"/>
      <c r="J30" s="230">
        <f t="shared" si="5"/>
        <v>2414.6686625827442</v>
      </c>
      <c r="K30" s="230">
        <f t="shared" si="6"/>
        <v>2042.3248536078481</v>
      </c>
      <c r="L30" s="226"/>
      <c r="M30" s="230">
        <f t="shared" si="7"/>
        <v>4456.9935161905923</v>
      </c>
      <c r="N30" s="226"/>
      <c r="O30" s="230">
        <f t="shared" si="8"/>
        <v>4456993.5161905922</v>
      </c>
    </row>
    <row r="31" spans="1:15">
      <c r="A31" s="231">
        <f t="shared" si="3"/>
        <v>21</v>
      </c>
      <c r="B31" s="226"/>
      <c r="C31" s="226" t="s">
        <v>577</v>
      </c>
      <c r="D31" s="226"/>
      <c r="E31" s="229">
        <f>_xlfn.XLOOKUP(C31,'WP8 Amortization of prem or dis'!$V$12:$V$53,'WP8 Amortization of prem or dis'!$W$12:$W$53,0,0,1)</f>
        <v>0.125</v>
      </c>
      <c r="F31" s="226"/>
      <c r="G31" s="230">
        <v>2110</v>
      </c>
      <c r="H31" s="230">
        <v>3485</v>
      </c>
      <c r="I31" s="230"/>
      <c r="J31" s="230">
        <f t="shared" si="5"/>
        <v>263.75</v>
      </c>
      <c r="K31" s="230">
        <f t="shared" si="6"/>
        <v>435.625</v>
      </c>
      <c r="L31" s="226"/>
      <c r="M31" s="230">
        <f t="shared" si="7"/>
        <v>699.375</v>
      </c>
      <c r="N31" s="226"/>
      <c r="O31" s="230">
        <f t="shared" si="8"/>
        <v>699375</v>
      </c>
    </row>
    <row r="32" spans="1:15">
      <c r="A32" s="231">
        <f t="shared" si="3"/>
        <v>22</v>
      </c>
      <c r="B32" s="226"/>
      <c r="C32" s="226" t="s">
        <v>578</v>
      </c>
      <c r="D32" s="226"/>
      <c r="E32" s="229">
        <f>_xlfn.XLOOKUP(C32,'WP8 Amortization of prem or dis'!$V$12:$V$53,'WP8 Amortization of prem or dis'!$W$12:$W$53,0,0,1)</f>
        <v>0</v>
      </c>
      <c r="F32" s="226"/>
      <c r="G32" s="230">
        <v>0</v>
      </c>
      <c r="H32" s="230">
        <v>0</v>
      </c>
      <c r="I32" s="230"/>
      <c r="J32" s="230">
        <f t="shared" si="5"/>
        <v>0</v>
      </c>
      <c r="K32" s="230">
        <f t="shared" si="6"/>
        <v>0</v>
      </c>
      <c r="L32" s="226"/>
      <c r="M32" s="230">
        <f t="shared" si="7"/>
        <v>0</v>
      </c>
      <c r="N32" s="226"/>
      <c r="O32" s="230">
        <f t="shared" si="8"/>
        <v>0</v>
      </c>
    </row>
    <row r="33" spans="1:15">
      <c r="A33" s="231">
        <f t="shared" si="3"/>
        <v>23</v>
      </c>
      <c r="B33" s="226"/>
      <c r="C33" s="226" t="s">
        <v>620</v>
      </c>
      <c r="D33" s="226"/>
      <c r="E33" s="229">
        <f>_xlfn.XLOOKUP(C33,'WP8 Amortization of prem or dis'!$V$12:$V$53,'WP8 Amortization of prem or dis'!$W$12:$W$53,0,0,1)</f>
        <v>0</v>
      </c>
      <c r="F33" s="226"/>
      <c r="G33" s="230">
        <v>0</v>
      </c>
      <c r="H33" s="230">
        <v>0</v>
      </c>
      <c r="I33" s="230"/>
      <c r="J33" s="230">
        <f t="shared" si="5"/>
        <v>0</v>
      </c>
      <c r="K33" s="230">
        <f t="shared" si="6"/>
        <v>0</v>
      </c>
      <c r="L33" s="226"/>
      <c r="M33" s="230">
        <f t="shared" si="7"/>
        <v>0</v>
      </c>
      <c r="N33" s="226"/>
      <c r="O33" s="230">
        <f t="shared" si="8"/>
        <v>0</v>
      </c>
    </row>
    <row r="34" spans="1:15">
      <c r="A34" s="231">
        <f t="shared" si="3"/>
        <v>24</v>
      </c>
      <c r="B34" s="226"/>
      <c r="C34" s="226" t="s">
        <v>621</v>
      </c>
      <c r="D34" s="226"/>
      <c r="E34" s="229">
        <f>_xlfn.XLOOKUP(C34,'WP8 Amortization of prem or dis'!$V$12:$V$53,'WP8 Amortization of prem or dis'!$W$12:$W$53,0,0,1)</f>
        <v>0</v>
      </c>
      <c r="F34" s="226"/>
      <c r="G34" s="230">
        <v>0</v>
      </c>
      <c r="H34" s="230">
        <v>0</v>
      </c>
      <c r="I34" s="230"/>
      <c r="J34" s="230">
        <f t="shared" si="5"/>
        <v>0</v>
      </c>
      <c r="K34" s="230">
        <f t="shared" si="6"/>
        <v>0</v>
      </c>
      <c r="L34" s="226"/>
      <c r="M34" s="230">
        <f t="shared" si="7"/>
        <v>0</v>
      </c>
      <c r="N34" s="226"/>
      <c r="O34" s="230">
        <f t="shared" si="8"/>
        <v>0</v>
      </c>
    </row>
    <row r="35" spans="1:15">
      <c r="A35" s="231">
        <f t="shared" si="3"/>
        <v>25</v>
      </c>
      <c r="B35" s="226"/>
      <c r="C35" s="226" t="s">
        <v>579</v>
      </c>
      <c r="D35" s="226"/>
      <c r="E35" s="229">
        <f>_xlfn.XLOOKUP(C35,'WP8 Amortization of prem or dis'!$V$12:$V$53,'WP8 Amortization of prem or dis'!$W$12:$W$53,0,0,1)</f>
        <v>0.46939999999999998</v>
      </c>
      <c r="F35" s="226"/>
      <c r="G35" s="230">
        <v>0</v>
      </c>
      <c r="H35" s="230">
        <v>0</v>
      </c>
      <c r="I35" s="230"/>
      <c r="J35" s="230">
        <f t="shared" ref="J35:J52" si="9">E35*G35</f>
        <v>0</v>
      </c>
      <c r="K35" s="230">
        <f t="shared" ref="K35:K52" si="10">$E35*H35</f>
        <v>0</v>
      </c>
      <c r="L35" s="226"/>
      <c r="M35" s="230">
        <f t="shared" ref="M35:M52" si="11">J35+K35</f>
        <v>0</v>
      </c>
      <c r="N35" s="226"/>
      <c r="O35" s="230">
        <f t="shared" ref="O35:O52" si="12">M35*1000</f>
        <v>0</v>
      </c>
    </row>
    <row r="36" spans="1:15">
      <c r="A36" s="231">
        <f t="shared" si="3"/>
        <v>26</v>
      </c>
      <c r="B36" s="226"/>
      <c r="C36" s="226" t="s">
        <v>580</v>
      </c>
      <c r="D36" s="226"/>
      <c r="E36" s="229">
        <f>_xlfn.XLOOKUP(C36,'WP8 Amortization of prem or dis'!$V$12:$V$53,'WP8 Amortization of prem or dis'!$W$12:$W$53,0,0,1)</f>
        <v>0</v>
      </c>
      <c r="F36" s="226"/>
      <c r="G36" s="230">
        <v>955</v>
      </c>
      <c r="H36" s="230">
        <v>1609.55</v>
      </c>
      <c r="I36" s="230"/>
      <c r="J36" s="230">
        <f t="shared" si="9"/>
        <v>0</v>
      </c>
      <c r="K36" s="230">
        <f t="shared" si="10"/>
        <v>0</v>
      </c>
      <c r="L36" s="226"/>
      <c r="M36" s="230">
        <f t="shared" si="11"/>
        <v>0</v>
      </c>
      <c r="N36" s="226"/>
      <c r="O36" s="230">
        <f t="shared" si="12"/>
        <v>0</v>
      </c>
    </row>
    <row r="37" spans="1:15">
      <c r="A37" s="231">
        <f t="shared" si="3"/>
        <v>27</v>
      </c>
      <c r="B37" s="226"/>
      <c r="C37" s="226" t="s">
        <v>581</v>
      </c>
      <c r="D37" s="226"/>
      <c r="E37" s="229">
        <f>_xlfn.XLOOKUP(C37,'WP8 Amortization of prem or dis'!$V$12:$V$53,'WP8 Amortization of prem or dis'!$W$12:$W$53,0,0,1)</f>
        <v>0.36549999999999999</v>
      </c>
      <c r="F37" s="226"/>
      <c r="G37" s="230">
        <v>420</v>
      </c>
      <c r="H37" s="230">
        <v>104.25</v>
      </c>
      <c r="I37" s="230"/>
      <c r="J37" s="230">
        <f t="shared" si="9"/>
        <v>153.51</v>
      </c>
      <c r="K37" s="230">
        <f t="shared" si="10"/>
        <v>38.103375</v>
      </c>
      <c r="L37" s="226"/>
      <c r="M37" s="230">
        <f t="shared" si="11"/>
        <v>191.61337499999999</v>
      </c>
      <c r="N37" s="226"/>
      <c r="O37" s="230">
        <f t="shared" si="12"/>
        <v>191613.375</v>
      </c>
    </row>
    <row r="38" spans="1:15">
      <c r="A38" s="231">
        <f t="shared" si="3"/>
        <v>28</v>
      </c>
      <c r="B38" s="226"/>
      <c r="C38" s="226" t="s">
        <v>582</v>
      </c>
      <c r="D38" s="226"/>
      <c r="E38" s="229">
        <f>_xlfn.XLOOKUP(C38,'WP8 Amortization of prem or dis'!$V$12:$V$53,'WP8 Amortization of prem or dis'!$W$12:$W$53,0,0,1)</f>
        <v>0</v>
      </c>
      <c r="F38" s="226"/>
      <c r="G38" s="230">
        <v>1385</v>
      </c>
      <c r="H38" s="230">
        <v>2324.35</v>
      </c>
      <c r="I38" s="230"/>
      <c r="J38" s="230">
        <f t="shared" si="9"/>
        <v>0</v>
      </c>
      <c r="K38" s="230">
        <f t="shared" si="10"/>
        <v>0</v>
      </c>
      <c r="L38" s="226"/>
      <c r="M38" s="230">
        <f t="shared" si="11"/>
        <v>0</v>
      </c>
      <c r="N38" s="226"/>
      <c r="O38" s="230">
        <f t="shared" si="12"/>
        <v>0</v>
      </c>
    </row>
    <row r="39" spans="1:15">
      <c r="A39" s="231">
        <f t="shared" si="3"/>
        <v>29</v>
      </c>
      <c r="B39" s="226"/>
      <c r="C39" s="226" t="s">
        <v>583</v>
      </c>
      <c r="D39" s="226"/>
      <c r="E39" s="229">
        <f>_xlfn.XLOOKUP(C39,'WP8 Amortization of prem or dis'!$V$12:$V$53,'WP8 Amortization of prem or dis'!$W$12:$W$53,0,0,1)</f>
        <v>0.31109999999999999</v>
      </c>
      <c r="F39" s="226"/>
      <c r="G39" s="230">
        <v>6000</v>
      </c>
      <c r="H39" s="230">
        <v>4204.5</v>
      </c>
      <c r="I39" s="230"/>
      <c r="J39" s="230">
        <f t="shared" si="9"/>
        <v>1866.6</v>
      </c>
      <c r="K39" s="230">
        <f t="shared" si="10"/>
        <v>1308.0199499999999</v>
      </c>
      <c r="L39" s="226"/>
      <c r="M39" s="230">
        <f t="shared" si="11"/>
        <v>3174.6199499999998</v>
      </c>
      <c r="N39" s="226"/>
      <c r="O39" s="230">
        <f t="shared" si="12"/>
        <v>3174619.9499999997</v>
      </c>
    </row>
    <row r="40" spans="1:15">
      <c r="A40" s="231">
        <f t="shared" si="3"/>
        <v>30</v>
      </c>
      <c r="B40" s="226"/>
      <c r="C40" s="226" t="s">
        <v>584</v>
      </c>
      <c r="D40" s="226"/>
      <c r="E40" s="229">
        <f>_xlfn.XLOOKUP(C40,'WP8 Amortization of prem or dis'!$V$12:$V$53,'WP8 Amortization of prem or dis'!$W$12:$W$53,0,0,1)</f>
        <v>0.11137787706036385</v>
      </c>
      <c r="F40" s="226"/>
      <c r="G40" s="230">
        <v>11250</v>
      </c>
      <c r="H40" s="230">
        <v>6323.65</v>
      </c>
      <c r="I40" s="230"/>
      <c r="J40" s="230">
        <f t="shared" si="9"/>
        <v>1253.0011169290933</v>
      </c>
      <c r="K40" s="230">
        <f t="shared" si="10"/>
        <v>704.31471227276984</v>
      </c>
      <c r="L40" s="226"/>
      <c r="M40" s="230">
        <f t="shared" si="11"/>
        <v>1957.3158292018632</v>
      </c>
      <c r="N40" s="226"/>
      <c r="O40" s="230">
        <f t="shared" si="12"/>
        <v>1957315.8292018631</v>
      </c>
    </row>
    <row r="41" spans="1:15">
      <c r="A41" s="231">
        <f t="shared" si="3"/>
        <v>31</v>
      </c>
      <c r="B41" s="226"/>
      <c r="C41" s="226" t="s">
        <v>585</v>
      </c>
      <c r="D41" s="226"/>
      <c r="E41" s="229">
        <f>_xlfn.XLOOKUP(C41,'WP8 Amortization of prem or dis'!$V$12:$V$53,'WP8 Amortization of prem or dis'!$W$12:$W$53,0,0,1)</f>
        <v>0.99778009156635328</v>
      </c>
      <c r="F41" s="226"/>
      <c r="G41" s="230">
        <v>7155</v>
      </c>
      <c r="H41" s="230">
        <v>669</v>
      </c>
      <c r="I41" s="230"/>
      <c r="J41" s="230">
        <f t="shared" si="9"/>
        <v>7139.1165551572576</v>
      </c>
      <c r="K41" s="230">
        <f t="shared" si="10"/>
        <v>667.51488125789035</v>
      </c>
      <c r="L41" s="226"/>
      <c r="M41" s="230">
        <f t="shared" si="11"/>
        <v>7806.6314364151476</v>
      </c>
      <c r="N41" s="226"/>
      <c r="O41" s="230">
        <f t="shared" si="12"/>
        <v>7806631.436415148</v>
      </c>
    </row>
    <row r="42" spans="1:15">
      <c r="A42" s="231">
        <f t="shared" si="3"/>
        <v>32</v>
      </c>
      <c r="B42" s="226"/>
      <c r="C42" s="226" t="s">
        <v>586</v>
      </c>
      <c r="D42" s="226"/>
      <c r="E42" s="229">
        <f>_xlfn.XLOOKUP(C42,'WP8 Amortization of prem or dis'!$V$12:$V$53,'WP8 Amortization of prem or dis'!$W$12:$W$53,0,0,1)</f>
        <v>0.45850000000000002</v>
      </c>
      <c r="F42" s="226"/>
      <c r="G42" s="230">
        <v>10000</v>
      </c>
      <c r="H42" s="230">
        <v>3323</v>
      </c>
      <c r="I42" s="230"/>
      <c r="J42" s="230">
        <f t="shared" si="9"/>
        <v>4585</v>
      </c>
      <c r="K42" s="230">
        <f t="shared" si="10"/>
        <v>1523.5955000000001</v>
      </c>
      <c r="L42" s="226"/>
      <c r="M42" s="230">
        <f t="shared" si="11"/>
        <v>6108.5955000000004</v>
      </c>
      <c r="N42" s="226"/>
      <c r="O42" s="230">
        <f t="shared" si="12"/>
        <v>6108595.5</v>
      </c>
    </row>
    <row r="43" spans="1:15">
      <c r="A43" s="231">
        <f t="shared" si="3"/>
        <v>33</v>
      </c>
      <c r="B43" s="226"/>
      <c r="C43" s="226" t="s">
        <v>587</v>
      </c>
      <c r="D43" s="226"/>
      <c r="E43" s="229">
        <f>_xlfn.XLOOKUP(C43,'WP8 Amortization of prem or dis'!$V$12:$V$53,'WP8 Amortization of prem or dis'!$W$12:$W$53,0,0,1)</f>
        <v>0.49309999999999998</v>
      </c>
      <c r="F43" s="226"/>
      <c r="G43" s="230">
        <v>2490</v>
      </c>
      <c r="H43" s="230">
        <v>977</v>
      </c>
      <c r="I43" s="230"/>
      <c r="J43" s="230">
        <f t="shared" si="9"/>
        <v>1227.819</v>
      </c>
      <c r="K43" s="230">
        <f t="shared" si="10"/>
        <v>481.75869999999998</v>
      </c>
      <c r="L43" s="226"/>
      <c r="M43" s="230">
        <f t="shared" si="11"/>
        <v>1709.5776999999998</v>
      </c>
      <c r="N43" s="226"/>
      <c r="O43" s="230">
        <f t="shared" si="12"/>
        <v>1709577.6999999997</v>
      </c>
    </row>
    <row r="44" spans="1:15">
      <c r="A44" s="231">
        <f t="shared" si="3"/>
        <v>34</v>
      </c>
      <c r="B44" s="226"/>
      <c r="C44" s="226" t="s">
        <v>588</v>
      </c>
      <c r="D44" s="226"/>
      <c r="E44" s="229">
        <f>_xlfn.XLOOKUP(C44,'WP8 Amortization of prem or dis'!$V$12:$V$53,'WP8 Amortization of prem or dis'!$W$12:$W$53,0,0,1)</f>
        <v>0.624</v>
      </c>
      <c r="F44" s="226"/>
      <c r="G44" s="230">
        <v>3665</v>
      </c>
      <c r="H44" s="230">
        <v>7138.15</v>
      </c>
      <c r="I44" s="230"/>
      <c r="J44" s="230">
        <f t="shared" si="9"/>
        <v>2286.96</v>
      </c>
      <c r="K44" s="230">
        <f t="shared" si="10"/>
        <v>4454.2055999999993</v>
      </c>
      <c r="L44" s="226"/>
      <c r="M44" s="230">
        <f t="shared" si="11"/>
        <v>6741.1655999999994</v>
      </c>
      <c r="N44" s="226"/>
      <c r="O44" s="230">
        <f t="shared" si="12"/>
        <v>6741165.5999999996</v>
      </c>
    </row>
    <row r="45" spans="1:15">
      <c r="A45" s="231">
        <f t="shared" si="3"/>
        <v>35</v>
      </c>
      <c r="B45" s="226"/>
      <c r="C45" s="226" t="s">
        <v>589</v>
      </c>
      <c r="D45" s="226"/>
      <c r="E45" s="229">
        <f>_xlfn.XLOOKUP(C45,'WP8 Amortization of prem or dis'!$V$12:$V$53,'WP8 Amortization of prem or dis'!$W$12:$W$53,0,0,1)</f>
        <v>0.2742</v>
      </c>
      <c r="F45" s="226"/>
      <c r="G45" s="230">
        <v>3835</v>
      </c>
      <c r="H45" s="230">
        <v>5007.8500000000004</v>
      </c>
      <c r="I45" s="230"/>
      <c r="J45" s="230">
        <f t="shared" si="9"/>
        <v>1051.557</v>
      </c>
      <c r="K45" s="230">
        <f t="shared" si="10"/>
        <v>1373.15247</v>
      </c>
      <c r="L45" s="226"/>
      <c r="M45" s="230">
        <f t="shared" si="11"/>
        <v>2424.7094699999998</v>
      </c>
      <c r="N45" s="226"/>
      <c r="O45" s="230">
        <f t="shared" si="12"/>
        <v>2424709.4699999997</v>
      </c>
    </row>
    <row r="46" spans="1:15">
      <c r="A46" s="231">
        <f t="shared" si="3"/>
        <v>36</v>
      </c>
      <c r="B46" s="226"/>
      <c r="C46" s="226" t="s">
        <v>590</v>
      </c>
      <c r="D46" s="226"/>
      <c r="E46" s="229">
        <f>_xlfn.XLOOKUP(C46,'WP8 Amortization of prem or dis'!$V$12:$V$53,'WP8 Amortization of prem or dis'!$W$12:$W$53,0,0,1)</f>
        <v>0.58309999999999995</v>
      </c>
      <c r="F46" s="226"/>
      <c r="G46" s="230">
        <v>3355</v>
      </c>
      <c r="H46" s="230">
        <v>8139.8</v>
      </c>
      <c r="I46" s="230"/>
      <c r="J46" s="230">
        <f t="shared" si="9"/>
        <v>1956.3004999999998</v>
      </c>
      <c r="K46" s="230">
        <f t="shared" si="10"/>
        <v>4746.3173799999995</v>
      </c>
      <c r="L46" s="226"/>
      <c r="M46" s="230">
        <f t="shared" si="11"/>
        <v>6702.6178799999998</v>
      </c>
      <c r="N46" s="226"/>
      <c r="O46" s="230">
        <f t="shared" si="12"/>
        <v>6702617.8799999999</v>
      </c>
    </row>
    <row r="47" spans="1:15">
      <c r="A47" s="231">
        <f t="shared" si="3"/>
        <v>37</v>
      </c>
      <c r="B47" s="226"/>
      <c r="C47" s="226" t="s">
        <v>591</v>
      </c>
      <c r="D47" s="226"/>
      <c r="E47" s="229">
        <f>_xlfn.XLOOKUP(C47,'WP8 Amortization of prem or dis'!$V$12:$V$53,'WP8 Amortization of prem or dis'!$W$12:$W$53,0,0,1)</f>
        <v>0.51939999999999997</v>
      </c>
      <c r="F47" s="226"/>
      <c r="G47" s="230">
        <v>0</v>
      </c>
      <c r="H47" s="230">
        <v>10347.4</v>
      </c>
      <c r="I47" s="230"/>
      <c r="J47" s="230">
        <f t="shared" si="9"/>
        <v>0</v>
      </c>
      <c r="K47" s="230">
        <f t="shared" si="10"/>
        <v>5374.4395599999998</v>
      </c>
      <c r="L47" s="226"/>
      <c r="M47" s="230">
        <f t="shared" si="11"/>
        <v>5374.4395599999998</v>
      </c>
      <c r="N47" s="226"/>
      <c r="O47" s="230">
        <f t="shared" si="12"/>
        <v>5374439.5599999996</v>
      </c>
    </row>
    <row r="48" spans="1:15">
      <c r="A48" s="231">
        <f t="shared" si="3"/>
        <v>38</v>
      </c>
      <c r="B48" s="226"/>
      <c r="C48" s="226" t="s">
        <v>592</v>
      </c>
      <c r="D48" s="226"/>
      <c r="E48" s="229">
        <f>_xlfn.XLOOKUP(C48,'WP8 Amortization of prem or dis'!$V$12:$V$53,'WP8 Amortization of prem or dis'!$W$12:$W$53,0,0,1)</f>
        <v>0.21886583948074967</v>
      </c>
      <c r="F48" s="226"/>
      <c r="G48" s="230">
        <v>10065</v>
      </c>
      <c r="H48" s="230">
        <v>7326.6750000000002</v>
      </c>
      <c r="I48" s="230"/>
      <c r="J48" s="230">
        <f t="shared" si="9"/>
        <v>2202.8846743737454</v>
      </c>
      <c r="K48" s="230">
        <f t="shared" si="10"/>
        <v>1603.5588744776217</v>
      </c>
      <c r="L48" s="226"/>
      <c r="M48" s="230">
        <f t="shared" si="11"/>
        <v>3806.4435488513673</v>
      </c>
      <c r="N48" s="226"/>
      <c r="O48" s="230">
        <f t="shared" si="12"/>
        <v>3806443.5488513671</v>
      </c>
    </row>
    <row r="49" spans="1:16">
      <c r="A49" s="231">
        <f t="shared" si="3"/>
        <v>39</v>
      </c>
      <c r="B49" s="226"/>
      <c r="C49" s="226" t="s">
        <v>616</v>
      </c>
      <c r="D49" s="226"/>
      <c r="E49" s="229">
        <f>_xlfn.XLOOKUP(C49,'WP8 Amortization of prem or dis'!$V$12:$V$53,'WP8 Amortization of prem or dis'!$W$12:$W$53,0,0,1)</f>
        <v>0.62560000000000004</v>
      </c>
      <c r="F49" s="226"/>
      <c r="G49" s="230">
        <v>0</v>
      </c>
      <c r="H49" s="230">
        <v>14673.7125</v>
      </c>
      <c r="I49" s="230"/>
      <c r="J49" s="230">
        <f t="shared" si="9"/>
        <v>0</v>
      </c>
      <c r="K49" s="230">
        <f t="shared" si="10"/>
        <v>9179.8745400000007</v>
      </c>
      <c r="L49" s="226"/>
      <c r="M49" s="230">
        <f t="shared" si="11"/>
        <v>9179.8745400000007</v>
      </c>
      <c r="N49" s="226"/>
      <c r="O49" s="230">
        <f t="shared" si="12"/>
        <v>9179874.540000001</v>
      </c>
    </row>
    <row r="50" spans="1:16">
      <c r="A50" s="231">
        <f t="shared" si="3"/>
        <v>40</v>
      </c>
      <c r="B50" s="226"/>
      <c r="C50" s="226" t="s">
        <v>617</v>
      </c>
      <c r="D50" s="226"/>
      <c r="E50" s="229">
        <f>_xlfn.XLOOKUP(C50,'WP8 Amortization of prem or dis'!$V$12:$V$53,'WP8 Amortization of prem or dis'!$W$12:$W$53,0,0,1)</f>
        <v>0.1145</v>
      </c>
      <c r="F50" s="226"/>
      <c r="G50" s="230">
        <v>2825</v>
      </c>
      <c r="H50" s="230">
        <v>3651</v>
      </c>
      <c r="I50" s="230"/>
      <c r="J50" s="230">
        <f t="shared" si="9"/>
        <v>323.46250000000003</v>
      </c>
      <c r="K50" s="230">
        <f t="shared" si="10"/>
        <v>418.03950000000003</v>
      </c>
      <c r="L50" s="226"/>
      <c r="M50" s="230">
        <f t="shared" si="11"/>
        <v>741.50200000000007</v>
      </c>
      <c r="N50" s="226"/>
      <c r="O50" s="230">
        <f t="shared" si="12"/>
        <v>741502.00000000012</v>
      </c>
    </row>
    <row r="51" spans="1:16">
      <c r="A51" s="231">
        <f t="shared" si="3"/>
        <v>41</v>
      </c>
      <c r="B51" s="226"/>
      <c r="C51" s="226" t="s">
        <v>697</v>
      </c>
      <c r="D51" s="226"/>
      <c r="E51" s="229">
        <f>_xlfn.XLOOKUP(C51,'WP8 Amortization of prem or dis'!$V$12:$V$53,'WP8 Amortization of prem or dis'!$W$12:$W$53,0,0,1)</f>
        <v>0.66890000000000005</v>
      </c>
      <c r="F51" s="226"/>
      <c r="G51" s="230">
        <v>0</v>
      </c>
      <c r="H51" s="230">
        <v>35944.400000000001</v>
      </c>
      <c r="I51" s="230"/>
      <c r="J51" s="230">
        <f t="shared" si="9"/>
        <v>0</v>
      </c>
      <c r="K51" s="230">
        <f t="shared" si="10"/>
        <v>24043.209160000002</v>
      </c>
      <c r="L51" s="226"/>
      <c r="M51" s="230">
        <f t="shared" si="11"/>
        <v>24043.209160000002</v>
      </c>
      <c r="N51" s="226"/>
      <c r="O51" s="230">
        <f t="shared" si="12"/>
        <v>24043209.160000004</v>
      </c>
    </row>
    <row r="52" spans="1:16">
      <c r="A52" s="231">
        <f t="shared" si="3"/>
        <v>42</v>
      </c>
      <c r="B52" s="226"/>
      <c r="C52" s="226" t="s">
        <v>698</v>
      </c>
      <c r="D52" s="226"/>
      <c r="E52" s="229">
        <f>_xlfn.XLOOKUP(C52,'WP8 Amortization of prem or dis'!$V$12:$V$53,'WP8 Amortization of prem or dis'!$W$12:$W$53,0,0,1)</f>
        <v>0.24529999999999999</v>
      </c>
      <c r="F52" s="226"/>
      <c r="G52" s="230">
        <v>11555</v>
      </c>
      <c r="H52" s="230">
        <v>1820.5</v>
      </c>
      <c r="I52" s="230"/>
      <c r="J52" s="230">
        <f t="shared" si="9"/>
        <v>2834.4414999999999</v>
      </c>
      <c r="K52" s="230">
        <f t="shared" si="10"/>
        <v>446.56864999999999</v>
      </c>
      <c r="L52" s="226"/>
      <c r="M52" s="230">
        <f t="shared" si="11"/>
        <v>3281.0101500000001</v>
      </c>
      <c r="N52" s="226"/>
      <c r="O52" s="230">
        <f t="shared" si="12"/>
        <v>3281010.15</v>
      </c>
    </row>
    <row r="53" spans="1:16">
      <c r="A53" s="80"/>
      <c r="E53" s="78"/>
      <c r="G53" s="94"/>
      <c r="H53" s="94"/>
      <c r="I53" s="94"/>
      <c r="J53" s="94"/>
      <c r="K53" s="94"/>
      <c r="M53" s="94"/>
      <c r="O53" s="94"/>
    </row>
    <row r="54" spans="1:16">
      <c r="A54" s="80"/>
      <c r="E54" s="78"/>
      <c r="G54" s="94"/>
      <c r="H54" s="94"/>
      <c r="I54" s="94"/>
      <c r="J54" s="94"/>
      <c r="K54" s="94"/>
      <c r="M54" s="94"/>
      <c r="O54" s="94"/>
    </row>
    <row r="55" spans="1:16">
      <c r="A55" s="231">
        <f>IF($C55="","",IF(A52="",A46+1,A52+1))</f>
        <v>43</v>
      </c>
      <c r="B55" s="226"/>
      <c r="C55" s="226" t="s">
        <v>815</v>
      </c>
      <c r="D55" s="226"/>
      <c r="E55" s="226"/>
      <c r="F55" s="226"/>
      <c r="G55" s="230"/>
      <c r="H55" s="230"/>
      <c r="I55" s="230"/>
      <c r="J55" s="230"/>
      <c r="K55" s="230"/>
      <c r="L55" s="226"/>
      <c r="M55" s="230">
        <v>12349.562298000001</v>
      </c>
      <c r="N55" s="226"/>
      <c r="O55" s="230">
        <f t="shared" si="4"/>
        <v>12349562.298</v>
      </c>
    </row>
    <row r="56" spans="1:16" ht="5.25" customHeight="1">
      <c r="A56" s="80" t="str">
        <f>IF($C56="","",IF(A55="",A44+1,A55+1))</f>
        <v/>
      </c>
      <c r="G56" s="94"/>
      <c r="H56" s="94"/>
      <c r="I56" s="94"/>
      <c r="J56" s="94"/>
      <c r="K56" s="94"/>
      <c r="M56" s="94"/>
      <c r="O56" s="94"/>
    </row>
    <row r="57" spans="1:16" ht="15.75" thickBot="1">
      <c r="A57" s="231">
        <f t="shared" si="3"/>
        <v>44</v>
      </c>
      <c r="B57"/>
      <c r="C57" s="226" t="s">
        <v>145</v>
      </c>
      <c r="D57"/>
      <c r="E57"/>
      <c r="F57"/>
      <c r="G57" s="233">
        <f>SUM(G11:G55)</f>
        <v>106770.21442</v>
      </c>
      <c r="H57" s="233">
        <f>SUM(H11:H55)</f>
        <v>144619.11934013697</v>
      </c>
      <c r="I57" s="233"/>
      <c r="J57" s="233">
        <f>SUM(J11:J55)</f>
        <v>39237.608009042844</v>
      </c>
      <c r="K57" s="233">
        <f>SUM(K11:K55)</f>
        <v>71640.748979537733</v>
      </c>
      <c r="L57" s="233"/>
      <c r="M57" s="233">
        <f>SUM(M11:M55)</f>
        <v>123227.91928658058</v>
      </c>
      <c r="N57" s="233"/>
      <c r="O57" s="233">
        <f>SUM(O11:O55)</f>
        <v>123227919.28658062</v>
      </c>
      <c r="P57" s="79"/>
    </row>
    <row r="58" spans="1:16" ht="15.75" thickTop="1">
      <c r="J58" s="81"/>
      <c r="K58" s="81"/>
    </row>
    <row r="59" spans="1:16">
      <c r="A59" s="232" t="s">
        <v>816</v>
      </c>
      <c r="B59" s="224"/>
      <c r="C59" s="224"/>
      <c r="D59" s="224"/>
      <c r="E59" s="224"/>
      <c r="F59" s="224"/>
      <c r="G59" s="224"/>
      <c r="H59" s="224"/>
      <c r="I59" s="224"/>
      <c r="J59" s="224"/>
      <c r="K59" s="224"/>
    </row>
    <row r="60" spans="1:16">
      <c r="A60" s="224"/>
      <c r="B60" s="224"/>
      <c r="C60" s="224"/>
      <c r="D60" s="224"/>
      <c r="E60" s="224"/>
      <c r="F60" s="224"/>
      <c r="G60" s="224"/>
      <c r="H60" s="224"/>
      <c r="I60" s="224"/>
      <c r="J60" s="224"/>
      <c r="K60" s="224"/>
      <c r="M60" s="79"/>
      <c r="O60" s="94"/>
    </row>
    <row r="61" spans="1:16">
      <c r="M61" s="79"/>
    </row>
    <row r="62" spans="1:16">
      <c r="G62" s="79"/>
      <c r="H62" s="79"/>
      <c r="I62" s="79"/>
      <c r="J62" s="79"/>
      <c r="K62" s="79"/>
      <c r="L62" s="79"/>
      <c r="M62" s="79"/>
      <c r="N62" s="79"/>
      <c r="O62" s="79"/>
    </row>
    <row r="66" spans="7:15">
      <c r="H66" s="176"/>
    </row>
    <row r="67" spans="7:15">
      <c r="H67" s="176"/>
    </row>
    <row r="68" spans="7:15">
      <c r="H68" s="176"/>
    </row>
    <row r="69" spans="7:15">
      <c r="H69" s="176"/>
    </row>
    <row r="70" spans="7:15">
      <c r="H70" s="176"/>
    </row>
    <row r="71" spans="7:15">
      <c r="H71" s="176"/>
    </row>
    <row r="72" spans="7:15">
      <c r="H72" s="176"/>
    </row>
    <row r="73" spans="7:15">
      <c r="H73" s="176"/>
    </row>
    <row r="74" spans="7:15">
      <c r="H74" s="94"/>
    </row>
    <row r="75" spans="7:15">
      <c r="G75" s="94"/>
      <c r="H75" s="94"/>
    </row>
    <row r="77" spans="7:15">
      <c r="H77" s="94"/>
    </row>
    <row r="78" spans="7:15">
      <c r="K78" s="177"/>
      <c r="L78" s="177"/>
      <c r="M78" s="177"/>
      <c r="N78" s="177"/>
      <c r="O78" s="177"/>
    </row>
    <row r="79" spans="7:15">
      <c r="H79" s="177"/>
      <c r="I79" s="94"/>
      <c r="J79" s="94"/>
      <c r="K79" s="178"/>
      <c r="L79" s="178"/>
      <c r="M79" s="178"/>
      <c r="N79" s="178"/>
      <c r="O79" s="178"/>
    </row>
    <row r="82" spans="8:8">
      <c r="H82" s="79"/>
    </row>
  </sheetData>
  <pageMargins left="0.7" right="0.7" top="0.75" bottom="0.75" header="0.3" footer="0.3"/>
  <pageSetup scale="8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3D784-691F-467F-80C4-DB93E96910EC}">
  <sheetPr>
    <tabColor rgb="FF0070C0"/>
  </sheetPr>
  <dimension ref="A1:Y61"/>
  <sheetViews>
    <sheetView zoomScaleNormal="100" workbookViewId="0"/>
  </sheetViews>
  <sheetFormatPr defaultRowHeight="15.75"/>
  <cols>
    <col min="1" max="1" width="5.7109375" style="130" customWidth="1"/>
    <col min="2" max="2" width="1.42578125" style="129" customWidth="1"/>
    <col min="3" max="3" width="9.140625" style="129"/>
    <col min="4" max="4" width="1.42578125" style="129" customWidth="1"/>
    <col min="5" max="5" width="9.28515625" style="129" customWidth="1"/>
    <col min="6" max="6" width="1.5703125" style="130" customWidth="1"/>
    <col min="7" max="7" width="27.85546875" style="129" bestFit="1" customWidth="1"/>
    <col min="8" max="8" width="1.5703125" style="130" customWidth="1"/>
    <col min="9" max="9" width="12.85546875" style="129" bestFit="1" customWidth="1"/>
    <col min="10" max="10" width="1.5703125" style="130" customWidth="1"/>
    <col min="11" max="11" width="47.140625" style="129" bestFit="1" customWidth="1"/>
    <col min="12" max="12" width="1.5703125" style="130" customWidth="1"/>
    <col min="13" max="13" width="26.5703125" style="149" customWidth="1"/>
    <col min="14" max="14" width="1.5703125" style="129" customWidth="1"/>
    <col min="15" max="15" width="14" style="130" bestFit="1" customWidth="1"/>
    <col min="16" max="16" width="1.5703125" style="129" customWidth="1"/>
    <col min="17" max="17" width="15.28515625" style="130" bestFit="1" customWidth="1"/>
    <col min="18" max="19" width="1.5703125" style="129" customWidth="1"/>
    <col min="20" max="20" width="11.5703125" style="130" customWidth="1"/>
    <col min="21" max="22" width="9.140625" style="130"/>
    <col min="23" max="23" width="10.28515625" style="130" bestFit="1" customWidth="1"/>
    <col min="24" max="261" width="9.140625" style="130"/>
    <col min="262" max="262" width="10.42578125" style="130" bestFit="1" customWidth="1"/>
    <col min="263" max="517" width="9.140625" style="130"/>
    <col min="518" max="518" width="10.42578125" style="130" bestFit="1" customWidth="1"/>
    <col min="519" max="773" width="9.140625" style="130"/>
    <col min="774" max="774" width="10.42578125" style="130" bestFit="1" customWidth="1"/>
    <col min="775" max="1029" width="9.140625" style="130"/>
    <col min="1030" max="1030" width="10.42578125" style="130" bestFit="1" customWidth="1"/>
    <col min="1031" max="1285" width="9.140625" style="130"/>
    <col min="1286" max="1286" width="10.42578125" style="130" bestFit="1" customWidth="1"/>
    <col min="1287" max="1541" width="9.140625" style="130"/>
    <col min="1542" max="1542" width="10.42578125" style="130" bestFit="1" customWidth="1"/>
    <col min="1543" max="1797" width="9.140625" style="130"/>
    <col min="1798" max="1798" width="10.42578125" style="130" bestFit="1" customWidth="1"/>
    <col min="1799" max="2053" width="9.140625" style="130"/>
    <col min="2054" max="2054" width="10.42578125" style="130" bestFit="1" customWidth="1"/>
    <col min="2055" max="2309" width="9.140625" style="130"/>
    <col min="2310" max="2310" width="10.42578125" style="130" bestFit="1" customWidth="1"/>
    <col min="2311" max="2565" width="9.140625" style="130"/>
    <col min="2566" max="2566" width="10.42578125" style="130" bestFit="1" customWidth="1"/>
    <col min="2567" max="2821" width="9.140625" style="130"/>
    <col min="2822" max="2822" width="10.42578125" style="130" bestFit="1" customWidth="1"/>
    <col min="2823" max="3077" width="9.140625" style="130"/>
    <col min="3078" max="3078" width="10.42578125" style="130" bestFit="1" customWidth="1"/>
    <col min="3079" max="3333" width="9.140625" style="130"/>
    <col min="3334" max="3334" width="10.42578125" style="130" bestFit="1" customWidth="1"/>
    <col min="3335" max="3589" width="9.140625" style="130"/>
    <col min="3590" max="3590" width="10.42578125" style="130" bestFit="1" customWidth="1"/>
    <col min="3591" max="3845" width="9.140625" style="130"/>
    <col min="3846" max="3846" width="10.42578125" style="130" bestFit="1" customWidth="1"/>
    <col min="3847" max="4101" width="9.140625" style="130"/>
    <col min="4102" max="4102" width="10.42578125" style="130" bestFit="1" customWidth="1"/>
    <col min="4103" max="4357" width="9.140625" style="130"/>
    <col min="4358" max="4358" width="10.42578125" style="130" bestFit="1" customWidth="1"/>
    <col min="4359" max="4613" width="9.140625" style="130"/>
    <col min="4614" max="4614" width="10.42578125" style="130" bestFit="1" customWidth="1"/>
    <col min="4615" max="4869" width="9.140625" style="130"/>
    <col min="4870" max="4870" width="10.42578125" style="130" bestFit="1" customWidth="1"/>
    <col min="4871" max="5125" width="9.140625" style="130"/>
    <col min="5126" max="5126" width="10.42578125" style="130" bestFit="1" customWidth="1"/>
    <col min="5127" max="5381" width="9.140625" style="130"/>
    <col min="5382" max="5382" width="10.42578125" style="130" bestFit="1" customWidth="1"/>
    <col min="5383" max="5637" width="9.140625" style="130"/>
    <col min="5638" max="5638" width="10.42578125" style="130" bestFit="1" customWidth="1"/>
    <col min="5639" max="5893" width="9.140625" style="130"/>
    <col min="5894" max="5894" width="10.42578125" style="130" bestFit="1" customWidth="1"/>
    <col min="5895" max="6149" width="9.140625" style="130"/>
    <col min="6150" max="6150" width="10.42578125" style="130" bestFit="1" customWidth="1"/>
    <col min="6151" max="6405" width="9.140625" style="130"/>
    <col min="6406" max="6406" width="10.42578125" style="130" bestFit="1" customWidth="1"/>
    <col min="6407" max="6661" width="9.140625" style="130"/>
    <col min="6662" max="6662" width="10.42578125" style="130" bestFit="1" customWidth="1"/>
    <col min="6663" max="6917" width="9.140625" style="130"/>
    <col min="6918" max="6918" width="10.42578125" style="130" bestFit="1" customWidth="1"/>
    <col min="6919" max="7173" width="9.140625" style="130"/>
    <col min="7174" max="7174" width="10.42578125" style="130" bestFit="1" customWidth="1"/>
    <col min="7175" max="7429" width="9.140625" style="130"/>
    <col min="7430" max="7430" width="10.42578125" style="130" bestFit="1" customWidth="1"/>
    <col min="7431" max="7685" width="9.140625" style="130"/>
    <col min="7686" max="7686" width="10.42578125" style="130" bestFit="1" customWidth="1"/>
    <col min="7687" max="7941" width="9.140625" style="130"/>
    <col min="7942" max="7942" width="10.42578125" style="130" bestFit="1" customWidth="1"/>
    <col min="7943" max="8197" width="9.140625" style="130"/>
    <col min="8198" max="8198" width="10.42578125" style="130" bestFit="1" customWidth="1"/>
    <col min="8199" max="8453" width="9.140625" style="130"/>
    <col min="8454" max="8454" width="10.42578125" style="130" bestFit="1" customWidth="1"/>
    <col min="8455" max="8709" width="9.140625" style="130"/>
    <col min="8710" max="8710" width="10.42578125" style="130" bestFit="1" customWidth="1"/>
    <col min="8711" max="8965" width="9.140625" style="130"/>
    <col min="8966" max="8966" width="10.42578125" style="130" bestFit="1" customWidth="1"/>
    <col min="8967" max="9221" width="9.140625" style="130"/>
    <col min="9222" max="9222" width="10.42578125" style="130" bestFit="1" customWidth="1"/>
    <col min="9223" max="9477" width="9.140625" style="130"/>
    <col min="9478" max="9478" width="10.42578125" style="130" bestFit="1" customWidth="1"/>
    <col min="9479" max="9733" width="9.140625" style="130"/>
    <col min="9734" max="9734" width="10.42578125" style="130" bestFit="1" customWidth="1"/>
    <col min="9735" max="9989" width="9.140625" style="130"/>
    <col min="9990" max="9990" width="10.42578125" style="130" bestFit="1" customWidth="1"/>
    <col min="9991" max="10245" width="9.140625" style="130"/>
    <col min="10246" max="10246" width="10.42578125" style="130" bestFit="1" customWidth="1"/>
    <col min="10247" max="10501" width="9.140625" style="130"/>
    <col min="10502" max="10502" width="10.42578125" style="130" bestFit="1" customWidth="1"/>
    <col min="10503" max="10757" width="9.140625" style="130"/>
    <col min="10758" max="10758" width="10.42578125" style="130" bestFit="1" customWidth="1"/>
    <col min="10759" max="11013" width="9.140625" style="130"/>
    <col min="11014" max="11014" width="10.42578125" style="130" bestFit="1" customWidth="1"/>
    <col min="11015" max="11269" width="9.140625" style="130"/>
    <col min="11270" max="11270" width="10.42578125" style="130" bestFit="1" customWidth="1"/>
    <col min="11271" max="11525" width="9.140625" style="130"/>
    <col min="11526" max="11526" width="10.42578125" style="130" bestFit="1" customWidth="1"/>
    <col min="11527" max="11781" width="9.140625" style="130"/>
    <col min="11782" max="11782" width="10.42578125" style="130" bestFit="1" customWidth="1"/>
    <col min="11783" max="12037" width="9.140625" style="130"/>
    <col min="12038" max="12038" width="10.42578125" style="130" bestFit="1" customWidth="1"/>
    <col min="12039" max="12293" width="9.140625" style="130"/>
    <col min="12294" max="12294" width="10.42578125" style="130" bestFit="1" customWidth="1"/>
    <col min="12295" max="12549" width="9.140625" style="130"/>
    <col min="12550" max="12550" width="10.42578125" style="130" bestFit="1" customWidth="1"/>
    <col min="12551" max="12805" width="9.140625" style="130"/>
    <col min="12806" max="12806" width="10.42578125" style="130" bestFit="1" customWidth="1"/>
    <col min="12807" max="13061" width="9.140625" style="130"/>
    <col min="13062" max="13062" width="10.42578125" style="130" bestFit="1" customWidth="1"/>
    <col min="13063" max="13317" width="9.140625" style="130"/>
    <col min="13318" max="13318" width="10.42578125" style="130" bestFit="1" customWidth="1"/>
    <col min="13319" max="13573" width="9.140625" style="130"/>
    <col min="13574" max="13574" width="10.42578125" style="130" bestFit="1" customWidth="1"/>
    <col min="13575" max="13829" width="9.140625" style="130"/>
    <col min="13830" max="13830" width="10.42578125" style="130" bestFit="1" customWidth="1"/>
    <col min="13831" max="14085" width="9.140625" style="130"/>
    <col min="14086" max="14086" width="10.42578125" style="130" bestFit="1" customWidth="1"/>
    <col min="14087" max="14341" width="9.140625" style="130"/>
    <col min="14342" max="14342" width="10.42578125" style="130" bestFit="1" customWidth="1"/>
    <col min="14343" max="14597" width="9.140625" style="130"/>
    <col min="14598" max="14598" width="10.42578125" style="130" bestFit="1" customWidth="1"/>
    <col min="14599" max="14853" width="9.140625" style="130"/>
    <col min="14854" max="14854" width="10.42578125" style="130" bestFit="1" customWidth="1"/>
    <col min="14855" max="15109" width="9.140625" style="130"/>
    <col min="15110" max="15110" width="10.42578125" style="130" bestFit="1" customWidth="1"/>
    <col min="15111" max="15365" width="9.140625" style="130"/>
    <col min="15366" max="15366" width="10.42578125" style="130" bestFit="1" customWidth="1"/>
    <col min="15367" max="15621" width="9.140625" style="130"/>
    <col min="15622" max="15622" width="10.42578125" style="130" bestFit="1" customWidth="1"/>
    <col min="15623" max="15877" width="9.140625" style="130"/>
    <col min="15878" max="15878" width="10.42578125" style="130" bestFit="1" customWidth="1"/>
    <col min="15879" max="16133" width="9.140625" style="130"/>
    <col min="16134" max="16134" width="10.42578125" style="130" bestFit="1" customWidth="1"/>
    <col min="16135" max="16384" width="9.140625" style="130"/>
  </cols>
  <sheetData>
    <row r="1" spans="1:25">
      <c r="A1" s="12" t="str">
        <f>TOC!A1</f>
        <v>Colorado Springs Utilities</v>
      </c>
      <c r="C1" s="130"/>
    </row>
    <row r="2" spans="1:25">
      <c r="A2" s="13" t="str">
        <f>TOC!A2</f>
        <v>2027 Transmission Formula Rate (TFR) Backup</v>
      </c>
      <c r="C2" s="130"/>
    </row>
    <row r="4" spans="1:25">
      <c r="A4" s="12" t="s">
        <v>499</v>
      </c>
    </row>
    <row r="5" spans="1:25">
      <c r="A5" s="14" t="str">
        <f>UPPER(VLOOKUP(A$4,TOC!$A$7:$C$39,3,FALSE))</f>
        <v>AMORTIZATION OF PREMIUM OR DISCOUNT (ACCOUNT 428, 429)</v>
      </c>
    </row>
    <row r="6" spans="1:25">
      <c r="A6" s="14" t="s">
        <v>699</v>
      </c>
    </row>
    <row r="8" spans="1:25" s="153" customFormat="1" ht="32.25" thickBot="1">
      <c r="A8" s="150" t="s">
        <v>155</v>
      </c>
      <c r="B8" s="151"/>
      <c r="C8" s="152" t="s">
        <v>501</v>
      </c>
      <c r="D8" s="151"/>
      <c r="E8" s="152" t="s">
        <v>70</v>
      </c>
      <c r="G8" s="152" t="s">
        <v>502</v>
      </c>
      <c r="I8" s="152" t="s">
        <v>503</v>
      </c>
      <c r="K8" s="152" t="s">
        <v>504</v>
      </c>
      <c r="L8" s="151"/>
      <c r="M8" s="154" t="s">
        <v>634</v>
      </c>
      <c r="O8" s="152" t="s">
        <v>635</v>
      </c>
      <c r="Q8" s="152" t="s">
        <v>636</v>
      </c>
      <c r="T8" s="153" t="s">
        <v>633</v>
      </c>
      <c r="V8" s="155" t="s">
        <v>551</v>
      </c>
      <c r="W8" s="156" t="s">
        <v>625</v>
      </c>
    </row>
    <row r="9" spans="1:25" s="153" customFormat="1">
      <c r="A9" s="157" t="s">
        <v>505</v>
      </c>
      <c r="B9" s="158"/>
      <c r="C9" s="157" t="s">
        <v>506</v>
      </c>
      <c r="D9" s="158"/>
      <c r="E9" s="157" t="s">
        <v>507</v>
      </c>
      <c r="F9" s="157"/>
      <c r="G9" s="157" t="s">
        <v>508</v>
      </c>
      <c r="H9" s="157"/>
      <c r="I9" s="157" t="s">
        <v>509</v>
      </c>
      <c r="J9" s="157"/>
      <c r="K9" s="157" t="s">
        <v>510</v>
      </c>
      <c r="L9" s="157"/>
      <c r="M9" s="159" t="s">
        <v>511</v>
      </c>
      <c r="N9" s="158"/>
      <c r="O9" s="157" t="s">
        <v>512</v>
      </c>
      <c r="P9" s="157"/>
      <c r="Q9" s="157" t="s">
        <v>513</v>
      </c>
      <c r="R9" s="157"/>
      <c r="X9" s="160"/>
      <c r="Y9" s="161"/>
    </row>
    <row r="10" spans="1:25" s="153" customFormat="1">
      <c r="A10" s="157"/>
      <c r="B10" s="158"/>
      <c r="C10" s="157"/>
      <c r="D10" s="158"/>
      <c r="E10" s="157"/>
      <c r="F10" s="157"/>
      <c r="G10" s="157"/>
      <c r="H10" s="157"/>
      <c r="I10" s="157"/>
      <c r="J10" s="157"/>
      <c r="K10" s="157"/>
      <c r="L10" s="157"/>
      <c r="M10" s="159"/>
      <c r="N10" s="158"/>
      <c r="O10" s="157"/>
      <c r="P10" s="157"/>
      <c r="Q10" s="141" t="s">
        <v>653</v>
      </c>
      <c r="R10" s="157"/>
      <c r="X10" s="160"/>
      <c r="Y10" s="161"/>
    </row>
    <row r="11" spans="1:25" s="153" customFormat="1" ht="7.5" customHeight="1">
      <c r="B11" s="151"/>
      <c r="C11" s="151"/>
      <c r="D11" s="151"/>
      <c r="E11" s="151"/>
      <c r="G11" s="151"/>
      <c r="I11" s="151"/>
      <c r="K11" s="151"/>
      <c r="L11" s="151"/>
      <c r="M11" s="162"/>
      <c r="O11" s="151"/>
      <c r="Q11" s="151"/>
      <c r="V11" s="160"/>
      <c r="W11" s="161"/>
    </row>
    <row r="12" spans="1:25">
      <c r="A12" s="163">
        <v>1</v>
      </c>
      <c r="B12" s="164"/>
      <c r="C12" s="165">
        <v>2027</v>
      </c>
      <c r="D12" s="166"/>
      <c r="E12" s="166">
        <v>428000</v>
      </c>
      <c r="F12" s="167"/>
      <c r="G12" s="164" t="s">
        <v>514</v>
      </c>
      <c r="H12" s="167"/>
      <c r="I12" s="166">
        <v>90</v>
      </c>
      <c r="J12" s="167"/>
      <c r="K12" s="164" t="s">
        <v>515</v>
      </c>
      <c r="L12" s="164"/>
      <c r="M12" s="168">
        <f>'WP9 Bond Issu Amort Exp Detail'!E52</f>
        <v>1362826.0577100448</v>
      </c>
      <c r="N12" s="167"/>
      <c r="O12" s="169" t="s">
        <v>654</v>
      </c>
      <c r="P12" s="167"/>
      <c r="Q12" s="168">
        <f>'WP9 Bond Issu Amort Exp Detail'!I52</f>
        <v>667837.32224967203</v>
      </c>
      <c r="R12" s="167"/>
      <c r="S12" s="130"/>
      <c r="V12" s="160" t="s">
        <v>626</v>
      </c>
      <c r="W12" s="161">
        <v>0.31230000000000002</v>
      </c>
    </row>
    <row r="13" spans="1:25">
      <c r="A13" s="163">
        <f>A12+1</f>
        <v>2</v>
      </c>
      <c r="B13" s="164"/>
      <c r="C13" s="165">
        <v>2027</v>
      </c>
      <c r="D13" s="166"/>
      <c r="E13" s="166">
        <v>428010</v>
      </c>
      <c r="F13" s="167"/>
      <c r="G13" s="164" t="s">
        <v>516</v>
      </c>
      <c r="H13" s="167"/>
      <c r="I13" s="166">
        <v>1027</v>
      </c>
      <c r="J13" s="167"/>
      <c r="K13" s="164" t="s">
        <v>517</v>
      </c>
      <c r="L13" s="164"/>
      <c r="M13" s="168">
        <v>3278.8799999999992</v>
      </c>
      <c r="N13" s="167"/>
      <c r="O13" s="170">
        <f>_xlfn.XLOOKUP(T13,$V$12:$V$53,$W$12:$W$53,"",0,1)</f>
        <v>0.29099999999999998</v>
      </c>
      <c r="P13" s="167"/>
      <c r="Q13" s="168">
        <f t="shared" ref="Q13:Q55" si="0">IFERROR(M13*O13,"")</f>
        <v>954.15407999999968</v>
      </c>
      <c r="R13" s="167"/>
      <c r="S13" s="130"/>
      <c r="T13" s="167" t="str">
        <f>MID(K13,FIND(2,K13,1),5)</f>
        <v>2005A</v>
      </c>
      <c r="V13" s="160" t="s">
        <v>559</v>
      </c>
      <c r="W13" s="161">
        <v>0.29099999999999998</v>
      </c>
    </row>
    <row r="14" spans="1:25">
      <c r="A14" s="163">
        <f t="shared" ref="A14:A59" si="1">A13+1</f>
        <v>3</v>
      </c>
      <c r="B14" s="164"/>
      <c r="C14" s="165">
        <v>2027</v>
      </c>
      <c r="D14" s="166"/>
      <c r="E14" s="166">
        <v>428010</v>
      </c>
      <c r="F14" s="167"/>
      <c r="G14" s="164" t="s">
        <v>516</v>
      </c>
      <c r="H14" s="167"/>
      <c r="I14" s="166">
        <v>1034</v>
      </c>
      <c r="J14" s="167"/>
      <c r="K14" s="164" t="s">
        <v>518</v>
      </c>
      <c r="L14" s="164"/>
      <c r="M14" s="168">
        <v>2767.0800000000004</v>
      </c>
      <c r="N14" s="167"/>
      <c r="O14" s="170">
        <f t="shared" ref="O14:O56" si="2">_xlfn.XLOOKUP(T14,$V$12:$V$53,$W$12:$W$53,"",0,1)</f>
        <v>3.1800000000000002E-2</v>
      </c>
      <c r="P14" s="167"/>
      <c r="Q14" s="168">
        <f t="shared" si="0"/>
        <v>87.993144000000015</v>
      </c>
      <c r="R14" s="167"/>
      <c r="S14" s="130"/>
      <c r="T14" s="167" t="str">
        <f t="shared" ref="T14:T56" si="3">MID(K14,FIND(2,K14,1),5)</f>
        <v>2006B</v>
      </c>
      <c r="V14" s="160" t="s">
        <v>627</v>
      </c>
      <c r="W14" s="161">
        <v>0.53100000000000003</v>
      </c>
    </row>
    <row r="15" spans="1:25">
      <c r="A15" s="163">
        <f t="shared" si="1"/>
        <v>4</v>
      </c>
      <c r="B15" s="164"/>
      <c r="C15" s="165">
        <v>2027</v>
      </c>
      <c r="D15" s="166"/>
      <c r="E15" s="166">
        <v>428010</v>
      </c>
      <c r="F15" s="167"/>
      <c r="G15" s="164" t="s">
        <v>516</v>
      </c>
      <c r="H15" s="167"/>
      <c r="I15" s="166">
        <v>1050</v>
      </c>
      <c r="J15" s="167"/>
      <c r="K15" s="164" t="s">
        <v>519</v>
      </c>
      <c r="L15" s="164"/>
      <c r="M15" s="168">
        <v>3050.0400000000004</v>
      </c>
      <c r="N15" s="167"/>
      <c r="O15" s="170">
        <f t="shared" si="2"/>
        <v>1</v>
      </c>
      <c r="P15" s="167"/>
      <c r="Q15" s="168">
        <f t="shared" si="0"/>
        <v>3050.0400000000004</v>
      </c>
      <c r="R15" s="167"/>
      <c r="S15" s="130"/>
      <c r="T15" s="167" t="str">
        <f t="shared" si="3"/>
        <v>2010D</v>
      </c>
      <c r="V15" s="160" t="s">
        <v>560</v>
      </c>
      <c r="W15" s="161">
        <v>3.1800000000000002E-2</v>
      </c>
    </row>
    <row r="16" spans="1:25">
      <c r="A16" s="163">
        <f t="shared" si="1"/>
        <v>5</v>
      </c>
      <c r="B16" s="164"/>
      <c r="C16" s="165">
        <v>2027</v>
      </c>
      <c r="D16" s="166"/>
      <c r="E16" s="166">
        <v>428100</v>
      </c>
      <c r="F16" s="167"/>
      <c r="G16" s="164" t="s">
        <v>520</v>
      </c>
      <c r="H16" s="167"/>
      <c r="I16" s="166">
        <v>1036</v>
      </c>
      <c r="J16" s="167"/>
      <c r="K16" s="164" t="s">
        <v>521</v>
      </c>
      <c r="L16" s="164"/>
      <c r="M16" s="168">
        <v>0</v>
      </c>
      <c r="N16" s="167"/>
      <c r="O16" s="170">
        <f t="shared" si="2"/>
        <v>0.43049999999999999</v>
      </c>
      <c r="P16" s="167"/>
      <c r="Q16" s="168">
        <f t="shared" si="0"/>
        <v>0</v>
      </c>
      <c r="R16" s="167"/>
      <c r="S16" s="130"/>
      <c r="T16" s="167" t="str">
        <f t="shared" si="3"/>
        <v>2007B</v>
      </c>
      <c r="V16" s="160" t="s">
        <v>561</v>
      </c>
      <c r="W16" s="161">
        <v>0.25819999999999999</v>
      </c>
    </row>
    <row r="17" spans="1:23">
      <c r="A17" s="163">
        <f t="shared" si="1"/>
        <v>6</v>
      </c>
      <c r="B17" s="164"/>
      <c r="C17" s="165">
        <v>2027</v>
      </c>
      <c r="D17" s="166"/>
      <c r="E17" s="166">
        <v>428100</v>
      </c>
      <c r="F17" s="167"/>
      <c r="G17" s="164" t="s">
        <v>520</v>
      </c>
      <c r="H17" s="167"/>
      <c r="I17" s="166">
        <v>1039</v>
      </c>
      <c r="J17" s="167"/>
      <c r="K17" s="164" t="s">
        <v>522</v>
      </c>
      <c r="L17" s="164"/>
      <c r="M17" s="168">
        <v>4061.1599999999994</v>
      </c>
      <c r="N17" s="167"/>
      <c r="O17" s="170">
        <f t="shared" si="2"/>
        <v>0.36680000000000001</v>
      </c>
      <c r="P17" s="167"/>
      <c r="Q17" s="168">
        <f t="shared" si="0"/>
        <v>1489.6334879999999</v>
      </c>
      <c r="R17" s="167"/>
      <c r="S17" s="130"/>
      <c r="T17" s="167" t="str">
        <f t="shared" si="3"/>
        <v>2008B</v>
      </c>
      <c r="V17" s="160" t="s">
        <v>628</v>
      </c>
      <c r="W17" s="161">
        <v>0.43049999999999999</v>
      </c>
    </row>
    <row r="18" spans="1:23">
      <c r="A18" s="163">
        <f t="shared" si="1"/>
        <v>7</v>
      </c>
      <c r="B18" s="164"/>
      <c r="C18" s="165">
        <v>2027</v>
      </c>
      <c r="D18" s="166"/>
      <c r="E18" s="166">
        <v>428100</v>
      </c>
      <c r="F18" s="167"/>
      <c r="G18" s="164" t="s">
        <v>520</v>
      </c>
      <c r="H18" s="167"/>
      <c r="I18" s="166">
        <v>1042</v>
      </c>
      <c r="J18" s="167"/>
      <c r="K18" s="164" t="s">
        <v>523</v>
      </c>
      <c r="L18" s="164"/>
      <c r="M18" s="168">
        <v>51479.399999999987</v>
      </c>
      <c r="N18" s="167"/>
      <c r="O18" s="170">
        <f t="shared" si="2"/>
        <v>0.45960000000000001</v>
      </c>
      <c r="P18" s="167"/>
      <c r="Q18" s="168">
        <f t="shared" si="0"/>
        <v>23659.932239999995</v>
      </c>
      <c r="R18" s="167"/>
      <c r="S18" s="130"/>
      <c r="T18" s="167" t="str">
        <f t="shared" si="3"/>
        <v>2009A</v>
      </c>
      <c r="V18" s="160" t="s">
        <v>562</v>
      </c>
      <c r="W18" s="161">
        <v>0.49780000000000002</v>
      </c>
    </row>
    <row r="19" spans="1:23">
      <c r="A19" s="163">
        <f t="shared" si="1"/>
        <v>8</v>
      </c>
      <c r="B19" s="164"/>
      <c r="C19" s="165">
        <v>2027</v>
      </c>
      <c r="D19" s="166"/>
      <c r="E19" s="166">
        <v>428100</v>
      </c>
      <c r="F19" s="167"/>
      <c r="G19" s="164" t="s">
        <v>520</v>
      </c>
      <c r="H19" s="167"/>
      <c r="I19" s="166">
        <v>1044</v>
      </c>
      <c r="J19" s="167"/>
      <c r="K19" s="164" t="s">
        <v>524</v>
      </c>
      <c r="L19" s="164"/>
      <c r="M19" s="168">
        <v>27180.480000000007</v>
      </c>
      <c r="N19" s="167"/>
      <c r="O19" s="170">
        <f t="shared" si="2"/>
        <v>0.72619999999999996</v>
      </c>
      <c r="P19" s="167"/>
      <c r="Q19" s="168">
        <f t="shared" si="0"/>
        <v>19738.464576000002</v>
      </c>
      <c r="R19" s="167"/>
      <c r="S19" s="130"/>
      <c r="T19" s="167" t="str">
        <f t="shared" si="3"/>
        <v>2009C</v>
      </c>
      <c r="V19" s="160" t="s">
        <v>629</v>
      </c>
      <c r="W19" s="161">
        <v>0.36680000000000001</v>
      </c>
    </row>
    <row r="20" spans="1:23">
      <c r="A20" s="163">
        <f t="shared" si="1"/>
        <v>9</v>
      </c>
      <c r="B20" s="164"/>
      <c r="C20" s="165">
        <v>2027</v>
      </c>
      <c r="D20" s="166"/>
      <c r="E20" s="166">
        <v>428100</v>
      </c>
      <c r="F20" s="167"/>
      <c r="G20" s="164" t="s">
        <v>520</v>
      </c>
      <c r="H20" s="167"/>
      <c r="I20" s="166">
        <v>1047</v>
      </c>
      <c r="J20" s="167"/>
      <c r="K20" s="164" t="s">
        <v>525</v>
      </c>
      <c r="L20" s="164"/>
      <c r="M20" s="168">
        <v>215769.36</v>
      </c>
      <c r="N20" s="167"/>
      <c r="O20" s="170">
        <f t="shared" si="2"/>
        <v>0.317</v>
      </c>
      <c r="P20" s="167"/>
      <c r="Q20" s="168">
        <f t="shared" si="0"/>
        <v>68398.887119999999</v>
      </c>
      <c r="R20" s="167"/>
      <c r="S20" s="130"/>
      <c r="T20" s="167" t="str">
        <f t="shared" si="3"/>
        <v>2010A</v>
      </c>
      <c r="V20" s="160" t="s">
        <v>563</v>
      </c>
      <c r="W20" s="161">
        <v>0.16569999999999999</v>
      </c>
    </row>
    <row r="21" spans="1:23">
      <c r="A21" s="163">
        <f t="shared" si="1"/>
        <v>10</v>
      </c>
      <c r="B21" s="164"/>
      <c r="C21" s="165">
        <v>2027</v>
      </c>
      <c r="D21" s="166"/>
      <c r="E21" s="166">
        <v>428100</v>
      </c>
      <c r="F21" s="167"/>
      <c r="G21" s="164" t="s">
        <v>520</v>
      </c>
      <c r="H21" s="167"/>
      <c r="I21" s="166">
        <v>1051</v>
      </c>
      <c r="J21" s="167"/>
      <c r="K21" s="164" t="s">
        <v>526</v>
      </c>
      <c r="L21" s="164"/>
      <c r="M21" s="168">
        <v>423635.16</v>
      </c>
      <c r="N21" s="167"/>
      <c r="O21" s="170">
        <f t="shared" si="2"/>
        <v>0.49259999999999998</v>
      </c>
      <c r="P21" s="167"/>
      <c r="Q21" s="168">
        <f t="shared" si="0"/>
        <v>208682.67981599999</v>
      </c>
      <c r="R21" s="167"/>
      <c r="S21" s="130"/>
      <c r="T21" s="167" t="str">
        <f t="shared" si="3"/>
        <v>2011A</v>
      </c>
      <c r="V21" s="160" t="s">
        <v>630</v>
      </c>
      <c r="W21" s="161">
        <v>0.45960000000000001</v>
      </c>
    </row>
    <row r="22" spans="1:23">
      <c r="A22" s="163">
        <f t="shared" si="1"/>
        <v>11</v>
      </c>
      <c r="B22" s="164"/>
      <c r="C22" s="165">
        <v>2027</v>
      </c>
      <c r="D22" s="166"/>
      <c r="E22" s="166">
        <v>428100</v>
      </c>
      <c r="F22" s="167"/>
      <c r="G22" s="164" t="s">
        <v>520</v>
      </c>
      <c r="H22" s="167"/>
      <c r="I22" s="166">
        <v>1053</v>
      </c>
      <c r="J22" s="167"/>
      <c r="K22" s="164" t="s">
        <v>527</v>
      </c>
      <c r="L22" s="164"/>
      <c r="M22" s="168">
        <v>236541.48000000007</v>
      </c>
      <c r="N22" s="167"/>
      <c r="O22" s="170">
        <f t="shared" si="2"/>
        <v>0.1356</v>
      </c>
      <c r="P22" s="167"/>
      <c r="Q22" s="168">
        <f t="shared" si="0"/>
        <v>32075.024688000009</v>
      </c>
      <c r="R22" s="167"/>
      <c r="S22" s="130"/>
      <c r="T22" s="167" t="str">
        <f t="shared" si="3"/>
        <v>2012B</v>
      </c>
      <c r="V22" s="160" t="s">
        <v>563</v>
      </c>
      <c r="W22" s="161">
        <v>0.16569999999999999</v>
      </c>
    </row>
    <row r="23" spans="1:23">
      <c r="A23" s="163">
        <f t="shared" si="1"/>
        <v>12</v>
      </c>
      <c r="B23" s="164"/>
      <c r="C23" s="165">
        <v>2027</v>
      </c>
      <c r="D23" s="166"/>
      <c r="E23" s="166">
        <v>428100</v>
      </c>
      <c r="F23" s="167"/>
      <c r="G23" s="164" t="s">
        <v>520</v>
      </c>
      <c r="H23" s="167"/>
      <c r="I23" s="166">
        <v>1055</v>
      </c>
      <c r="J23" s="167"/>
      <c r="K23" s="164" t="s">
        <v>528</v>
      </c>
      <c r="L23" s="164"/>
      <c r="M23" s="168">
        <v>289623.24</v>
      </c>
      <c r="N23" s="167"/>
      <c r="O23" s="170">
        <f t="shared" si="2"/>
        <v>0.1933</v>
      </c>
      <c r="P23" s="167"/>
      <c r="Q23" s="168">
        <f t="shared" si="0"/>
        <v>55984.172291999996</v>
      </c>
      <c r="R23" s="167"/>
      <c r="S23" s="130"/>
      <c r="T23" s="167" t="str">
        <f t="shared" si="3"/>
        <v>2013A</v>
      </c>
      <c r="V23" s="160" t="s">
        <v>564</v>
      </c>
      <c r="W23" s="161">
        <v>0.72619999999999996</v>
      </c>
    </row>
    <row r="24" spans="1:23">
      <c r="A24" s="163">
        <f t="shared" si="1"/>
        <v>13</v>
      </c>
      <c r="B24" s="164"/>
      <c r="C24" s="165">
        <v>2027</v>
      </c>
      <c r="D24" s="166"/>
      <c r="E24" s="166">
        <v>428100</v>
      </c>
      <c r="F24" s="167"/>
      <c r="G24" s="164" t="s">
        <v>520</v>
      </c>
      <c r="H24" s="167"/>
      <c r="I24" s="166">
        <v>1066</v>
      </c>
      <c r="J24" s="167"/>
      <c r="K24" s="164" t="s">
        <v>529</v>
      </c>
      <c r="L24" s="164"/>
      <c r="M24" s="168">
        <v>0</v>
      </c>
      <c r="N24" s="167"/>
      <c r="O24" s="170">
        <f t="shared" si="2"/>
        <v>0.46939999999999998</v>
      </c>
      <c r="P24" s="167"/>
      <c r="Q24" s="168">
        <f t="shared" si="0"/>
        <v>0</v>
      </c>
      <c r="R24" s="167"/>
      <c r="S24" s="130"/>
      <c r="T24" s="167" t="str">
        <f>MID(K24,FIND(2,K24,1),6)</f>
        <v>2018A1</v>
      </c>
      <c r="V24" s="160" t="s">
        <v>565</v>
      </c>
      <c r="W24" s="161">
        <v>0</v>
      </c>
    </row>
    <row r="25" spans="1:23">
      <c r="A25" s="163">
        <f t="shared" si="1"/>
        <v>14</v>
      </c>
      <c r="B25" s="164"/>
      <c r="C25" s="165">
        <v>2027</v>
      </c>
      <c r="D25" s="166"/>
      <c r="E25" s="166">
        <v>428100</v>
      </c>
      <c r="F25" s="167"/>
      <c r="G25" s="164" t="s">
        <v>520</v>
      </c>
      <c r="H25" s="167"/>
      <c r="I25" s="166">
        <v>1068</v>
      </c>
      <c r="J25" s="167"/>
      <c r="K25" s="164" t="s">
        <v>530</v>
      </c>
      <c r="L25" s="164"/>
      <c r="M25" s="168">
        <v>2642.16</v>
      </c>
      <c r="N25" s="167"/>
      <c r="O25" s="170">
        <f t="shared" si="2"/>
        <v>0.36549999999999999</v>
      </c>
      <c r="P25" s="167"/>
      <c r="Q25" s="168">
        <f t="shared" si="0"/>
        <v>965.70947999999987</v>
      </c>
      <c r="R25" s="167"/>
      <c r="S25" s="130"/>
      <c r="T25" s="167" t="str">
        <f>MID(K25,FIND(2,K25,1),6)</f>
        <v>2018A3</v>
      </c>
      <c r="V25" s="160" t="s">
        <v>566</v>
      </c>
      <c r="W25" s="161">
        <v>0</v>
      </c>
    </row>
    <row r="26" spans="1:23">
      <c r="A26" s="163">
        <f t="shared" si="1"/>
        <v>15</v>
      </c>
      <c r="B26" s="164"/>
      <c r="C26" s="165">
        <v>2027</v>
      </c>
      <c r="D26" s="166"/>
      <c r="E26" s="166">
        <v>429000</v>
      </c>
      <c r="F26" s="167"/>
      <c r="G26" s="164" t="s">
        <v>531</v>
      </c>
      <c r="H26" s="167"/>
      <c r="I26" s="166">
        <v>1043</v>
      </c>
      <c r="J26" s="167"/>
      <c r="K26" s="164" t="s">
        <v>532</v>
      </c>
      <c r="L26" s="164"/>
      <c r="M26" s="168">
        <v>-77524.56</v>
      </c>
      <c r="N26" s="167"/>
      <c r="O26" s="170">
        <f t="shared" si="2"/>
        <v>0.16569999999999999</v>
      </c>
      <c r="P26" s="167"/>
      <c r="Q26" s="168">
        <f t="shared" si="0"/>
        <v>-12845.819591999998</v>
      </c>
      <c r="R26" s="167"/>
      <c r="S26" s="130"/>
      <c r="T26" s="167" t="str">
        <f t="shared" si="3"/>
        <v>2009B</v>
      </c>
      <c r="V26" s="160" t="s">
        <v>631</v>
      </c>
      <c r="W26" s="161">
        <v>0.317</v>
      </c>
    </row>
    <row r="27" spans="1:23">
      <c r="A27" s="163">
        <f t="shared" si="1"/>
        <v>16</v>
      </c>
      <c r="B27" s="164"/>
      <c r="C27" s="165">
        <v>2027</v>
      </c>
      <c r="D27" s="166"/>
      <c r="E27" s="166">
        <v>429000</v>
      </c>
      <c r="F27" s="167"/>
      <c r="G27" s="164" t="s">
        <v>531</v>
      </c>
      <c r="H27" s="167"/>
      <c r="I27" s="166">
        <v>1050</v>
      </c>
      <c r="J27" s="167"/>
      <c r="K27" s="164" t="s">
        <v>533</v>
      </c>
      <c r="L27" s="164"/>
      <c r="M27" s="168">
        <v>-48192.960000000014</v>
      </c>
      <c r="N27" s="167"/>
      <c r="O27" s="170">
        <f t="shared" si="2"/>
        <v>1</v>
      </c>
      <c r="P27" s="167"/>
      <c r="Q27" s="168">
        <f t="shared" si="0"/>
        <v>-48192.960000000014</v>
      </c>
      <c r="R27" s="167"/>
      <c r="S27" s="130"/>
      <c r="T27" s="167" t="str">
        <f t="shared" si="3"/>
        <v>2010D</v>
      </c>
      <c r="V27" s="160" t="s">
        <v>567</v>
      </c>
      <c r="W27" s="161">
        <v>0.61839999999999995</v>
      </c>
    </row>
    <row r="28" spans="1:23">
      <c r="A28" s="163">
        <f t="shared" si="1"/>
        <v>17</v>
      </c>
      <c r="B28" s="164"/>
      <c r="C28" s="165">
        <v>2027</v>
      </c>
      <c r="D28" s="166"/>
      <c r="E28" s="166">
        <v>429000</v>
      </c>
      <c r="F28" s="167"/>
      <c r="G28" s="164" t="s">
        <v>531</v>
      </c>
      <c r="H28" s="167"/>
      <c r="I28" s="166">
        <v>1060</v>
      </c>
      <c r="J28" s="167"/>
      <c r="K28" s="164" t="s">
        <v>534</v>
      </c>
      <c r="L28" s="164"/>
      <c r="M28" s="168">
        <v>-58789.919999999998</v>
      </c>
      <c r="N28" s="167"/>
      <c r="O28" s="170">
        <f t="shared" si="2"/>
        <v>0.24529999999999999</v>
      </c>
      <c r="P28" s="167"/>
      <c r="Q28" s="168">
        <f t="shared" si="0"/>
        <v>-14421.167375999999</v>
      </c>
      <c r="R28" s="167"/>
      <c r="S28" s="130"/>
      <c r="T28" s="167" t="str">
        <f t="shared" si="3"/>
        <v>2015A</v>
      </c>
      <c r="V28" s="160" t="s">
        <v>568</v>
      </c>
      <c r="W28" s="161">
        <v>1</v>
      </c>
    </row>
    <row r="29" spans="1:23">
      <c r="A29" s="163">
        <f t="shared" si="1"/>
        <v>18</v>
      </c>
      <c r="B29" s="164"/>
      <c r="C29" s="165">
        <v>2027</v>
      </c>
      <c r="D29" s="166"/>
      <c r="E29" s="166">
        <v>429000</v>
      </c>
      <c r="F29" s="167"/>
      <c r="G29" s="164" t="s">
        <v>531</v>
      </c>
      <c r="H29" s="167"/>
      <c r="I29" s="166">
        <v>1063</v>
      </c>
      <c r="J29" s="167"/>
      <c r="K29" s="164" t="s">
        <v>535</v>
      </c>
      <c r="L29" s="164"/>
      <c r="M29" s="168">
        <v>-752615.13294346305</v>
      </c>
      <c r="N29" s="167"/>
      <c r="O29" s="170">
        <f t="shared" si="2"/>
        <v>0.69387030533986904</v>
      </c>
      <c r="P29" s="167"/>
      <c r="Q29" s="168">
        <f t="shared" si="0"/>
        <v>-522217.29209888686</v>
      </c>
      <c r="R29" s="167"/>
      <c r="S29" s="130"/>
      <c r="T29" s="167" t="str">
        <f>SUBSTITUTE(MID(K29,FIND(2,K29,1),7),"-","",1)</f>
        <v>2017A1</v>
      </c>
      <c r="V29" s="160" t="s">
        <v>632</v>
      </c>
      <c r="W29" s="161">
        <v>0.49259999999999998</v>
      </c>
    </row>
    <row r="30" spans="1:23">
      <c r="A30" s="163">
        <f t="shared" si="1"/>
        <v>19</v>
      </c>
      <c r="B30" s="164"/>
      <c r="C30" s="165">
        <v>2027</v>
      </c>
      <c r="D30" s="166"/>
      <c r="E30" s="166">
        <v>429000</v>
      </c>
      <c r="F30" s="167"/>
      <c r="G30" s="164" t="s">
        <v>531</v>
      </c>
      <c r="H30" s="167"/>
      <c r="I30" s="166">
        <v>1064</v>
      </c>
      <c r="J30" s="167"/>
      <c r="K30" s="164" t="s">
        <v>536</v>
      </c>
      <c r="L30" s="164"/>
      <c r="M30" s="168">
        <v>-536099.76</v>
      </c>
      <c r="N30" s="167"/>
      <c r="O30" s="170">
        <f t="shared" si="2"/>
        <v>0.125</v>
      </c>
      <c r="P30" s="167"/>
      <c r="Q30" s="168">
        <f t="shared" si="0"/>
        <v>-67012.47</v>
      </c>
      <c r="R30" s="167"/>
      <c r="S30" s="130"/>
      <c r="T30" s="167" t="str">
        <f>SUBSTITUTE(MID(K30,FIND(2,K30,1),7),"-","",1)</f>
        <v>2017A2</v>
      </c>
      <c r="V30" s="160" t="s">
        <v>569</v>
      </c>
      <c r="W30" s="161">
        <v>0.62429999999999997</v>
      </c>
    </row>
    <row r="31" spans="1:23">
      <c r="A31" s="163">
        <f t="shared" si="1"/>
        <v>20</v>
      </c>
      <c r="B31" s="164"/>
      <c r="C31" s="165">
        <v>2027</v>
      </c>
      <c r="D31" s="166"/>
      <c r="E31" s="166">
        <v>429000</v>
      </c>
      <c r="F31" s="167"/>
      <c r="G31" s="164" t="s">
        <v>531</v>
      </c>
      <c r="H31" s="167"/>
      <c r="I31" s="166">
        <v>1066</v>
      </c>
      <c r="J31" s="167"/>
      <c r="K31" s="164" t="s">
        <v>537</v>
      </c>
      <c r="L31" s="164"/>
      <c r="M31" s="168">
        <v>0</v>
      </c>
      <c r="N31" s="167"/>
      <c r="O31" s="170">
        <f t="shared" si="2"/>
        <v>0.46939999999999998</v>
      </c>
      <c r="P31" s="167"/>
      <c r="Q31" s="168">
        <f t="shared" si="0"/>
        <v>0</v>
      </c>
      <c r="R31" s="167"/>
      <c r="S31" s="130"/>
      <c r="T31" s="167" t="str">
        <f t="shared" ref="T31:T34" si="4">MID(K31,FIND(2,K31,1),6)</f>
        <v>2018A1</v>
      </c>
      <c r="V31" s="160" t="s">
        <v>618</v>
      </c>
      <c r="W31" s="161">
        <v>0.1356</v>
      </c>
    </row>
    <row r="32" spans="1:23">
      <c r="A32" s="163">
        <f t="shared" si="1"/>
        <v>21</v>
      </c>
      <c r="B32" s="164"/>
      <c r="C32" s="165">
        <v>2027</v>
      </c>
      <c r="D32" s="166"/>
      <c r="E32" s="166">
        <v>429000</v>
      </c>
      <c r="F32" s="167"/>
      <c r="G32" s="164" t="s">
        <v>531</v>
      </c>
      <c r="H32" s="167"/>
      <c r="I32" s="166">
        <v>1067</v>
      </c>
      <c r="J32" s="167"/>
      <c r="K32" s="164" t="s">
        <v>538</v>
      </c>
      <c r="L32" s="164"/>
      <c r="M32" s="168">
        <v>-188832.84</v>
      </c>
      <c r="N32" s="167"/>
      <c r="O32" s="170">
        <f t="shared" si="2"/>
        <v>0</v>
      </c>
      <c r="P32" s="167"/>
      <c r="Q32" s="168">
        <f t="shared" si="0"/>
        <v>0</v>
      </c>
      <c r="R32" s="167"/>
      <c r="S32" s="130"/>
      <c r="T32" s="167" t="str">
        <f t="shared" si="4"/>
        <v>2018A2</v>
      </c>
      <c r="V32" s="160" t="s">
        <v>570</v>
      </c>
      <c r="W32" s="161">
        <v>0.1933</v>
      </c>
    </row>
    <row r="33" spans="1:23">
      <c r="A33" s="163">
        <f t="shared" si="1"/>
        <v>22</v>
      </c>
      <c r="B33" s="164"/>
      <c r="C33" s="165">
        <v>2027</v>
      </c>
      <c r="D33" s="166"/>
      <c r="E33" s="166">
        <v>429000</v>
      </c>
      <c r="F33" s="167"/>
      <c r="G33" s="164" t="s">
        <v>531</v>
      </c>
      <c r="H33" s="167"/>
      <c r="I33" s="166">
        <v>1068</v>
      </c>
      <c r="J33" s="167"/>
      <c r="K33" s="164" t="s">
        <v>539</v>
      </c>
      <c r="L33" s="164"/>
      <c r="M33" s="168">
        <v>-46613.04</v>
      </c>
      <c r="N33" s="167"/>
      <c r="O33" s="170">
        <f t="shared" si="2"/>
        <v>0.36549999999999999</v>
      </c>
      <c r="P33" s="167"/>
      <c r="Q33" s="168">
        <f t="shared" si="0"/>
        <v>-17037.06612</v>
      </c>
      <c r="R33" s="167"/>
      <c r="S33" s="130"/>
      <c r="T33" s="167" t="str">
        <f t="shared" si="4"/>
        <v>2018A3</v>
      </c>
      <c r="V33" s="160" t="s">
        <v>575</v>
      </c>
      <c r="W33" s="161">
        <v>0.24529999999999999</v>
      </c>
    </row>
    <row r="34" spans="1:23">
      <c r="A34" s="163">
        <f t="shared" si="1"/>
        <v>23</v>
      </c>
      <c r="B34" s="164"/>
      <c r="C34" s="165">
        <v>2027</v>
      </c>
      <c r="D34" s="166"/>
      <c r="E34" s="166">
        <v>429000</v>
      </c>
      <c r="F34" s="167"/>
      <c r="G34" s="164" t="s">
        <v>531</v>
      </c>
      <c r="H34" s="167"/>
      <c r="I34" s="166">
        <v>1069</v>
      </c>
      <c r="J34" s="167"/>
      <c r="K34" s="164" t="s">
        <v>540</v>
      </c>
      <c r="L34" s="164"/>
      <c r="M34" s="168">
        <v>-279173.64</v>
      </c>
      <c r="N34" s="167"/>
      <c r="O34" s="170">
        <f t="shared" si="2"/>
        <v>0</v>
      </c>
      <c r="P34" s="167"/>
      <c r="Q34" s="168">
        <f t="shared" si="0"/>
        <v>0</v>
      </c>
      <c r="R34" s="167"/>
      <c r="S34" s="130"/>
      <c r="T34" s="167" t="str">
        <f t="shared" si="4"/>
        <v>2018A4</v>
      </c>
      <c r="V34" s="160" t="s">
        <v>576</v>
      </c>
      <c r="W34" s="161">
        <v>0.69387030533986904</v>
      </c>
    </row>
    <row r="35" spans="1:23">
      <c r="A35" s="163">
        <f t="shared" si="1"/>
        <v>24</v>
      </c>
      <c r="B35" s="164"/>
      <c r="C35" s="165">
        <v>2027</v>
      </c>
      <c r="D35" s="166"/>
      <c r="E35" s="166">
        <v>429000</v>
      </c>
      <c r="F35" s="167"/>
      <c r="G35" s="164" t="s">
        <v>531</v>
      </c>
      <c r="H35" s="167"/>
      <c r="I35" s="166">
        <v>1070</v>
      </c>
      <c r="J35" s="167"/>
      <c r="K35" s="164" t="s">
        <v>541</v>
      </c>
      <c r="L35" s="164"/>
      <c r="M35" s="168">
        <v>-2632085.52</v>
      </c>
      <c r="N35" s="167"/>
      <c r="O35" s="170">
        <f t="shared" si="2"/>
        <v>0.31109999999999999</v>
      </c>
      <c r="P35" s="167"/>
      <c r="Q35" s="168">
        <f t="shared" si="0"/>
        <v>-818841.80527200003</v>
      </c>
      <c r="R35" s="167"/>
      <c r="S35" s="130"/>
      <c r="T35" s="167" t="str">
        <f t="shared" si="3"/>
        <v>2019A</v>
      </c>
      <c r="V35" s="160" t="s">
        <v>577</v>
      </c>
      <c r="W35" s="161">
        <v>0.125</v>
      </c>
    </row>
    <row r="36" spans="1:23">
      <c r="A36" s="163">
        <f t="shared" si="1"/>
        <v>25</v>
      </c>
      <c r="B36" s="164"/>
      <c r="C36" s="165">
        <v>2027</v>
      </c>
      <c r="D36" s="166"/>
      <c r="E36" s="166">
        <v>429000</v>
      </c>
      <c r="F36" s="167"/>
      <c r="G36" s="164" t="s">
        <v>531</v>
      </c>
      <c r="H36" s="167"/>
      <c r="I36" s="166">
        <v>1071</v>
      </c>
      <c r="J36" s="167"/>
      <c r="K36" s="164" t="s">
        <v>542</v>
      </c>
      <c r="L36" s="164"/>
      <c r="M36" s="168">
        <v>-2150517.1562913298</v>
      </c>
      <c r="N36" s="167"/>
      <c r="O36" s="170">
        <f>_xlfn.XLOOKUP(T36,$V$12:$V$53,$W$12:$W$53,"",0,1)</f>
        <v>0.11137787706036385</v>
      </c>
      <c r="P36" s="167"/>
      <c r="Q36" s="168">
        <f t="shared" si="0"/>
        <v>-239520.035449619</v>
      </c>
      <c r="R36" s="167"/>
      <c r="S36" s="130"/>
      <c r="T36" s="167" t="str">
        <f t="shared" si="3"/>
        <v>2020A</v>
      </c>
      <c r="V36" s="160" t="s">
        <v>579</v>
      </c>
      <c r="W36" s="161">
        <v>0.46939999999999998</v>
      </c>
    </row>
    <row r="37" spans="1:23">
      <c r="A37" s="163">
        <f t="shared" si="1"/>
        <v>26</v>
      </c>
      <c r="B37" s="164"/>
      <c r="C37" s="165">
        <v>2027</v>
      </c>
      <c r="D37" s="166"/>
      <c r="E37" s="166">
        <v>429000</v>
      </c>
      <c r="F37" s="167"/>
      <c r="G37" s="164" t="s">
        <v>531</v>
      </c>
      <c r="H37" s="167"/>
      <c r="I37" s="166">
        <v>1072</v>
      </c>
      <c r="J37" s="167"/>
      <c r="K37" s="164" t="s">
        <v>543</v>
      </c>
      <c r="L37" s="164"/>
      <c r="M37" s="168">
        <v>-1325482.6799999997</v>
      </c>
      <c r="N37" s="167"/>
      <c r="O37" s="170">
        <f t="shared" si="2"/>
        <v>0.99778009156635328</v>
      </c>
      <c r="P37" s="167"/>
      <c r="Q37" s="168">
        <f t="shared" si="0"/>
        <v>-1322540.2298200151</v>
      </c>
      <c r="R37" s="167"/>
      <c r="S37" s="130"/>
      <c r="T37" s="167" t="str">
        <f t="shared" si="3"/>
        <v>2020B</v>
      </c>
      <c r="V37" s="160" t="s">
        <v>580</v>
      </c>
      <c r="W37" s="161">
        <v>0</v>
      </c>
    </row>
    <row r="38" spans="1:23">
      <c r="A38" s="163">
        <f t="shared" si="1"/>
        <v>27</v>
      </c>
      <c r="B38" s="164"/>
      <c r="C38" s="165">
        <v>2027</v>
      </c>
      <c r="D38" s="166"/>
      <c r="E38" s="166">
        <v>429000</v>
      </c>
      <c r="F38" s="167"/>
      <c r="G38" s="164" t="s">
        <v>531</v>
      </c>
      <c r="H38" s="167"/>
      <c r="I38" s="166">
        <v>1073</v>
      </c>
      <c r="J38" s="167"/>
      <c r="K38" s="164" t="s">
        <v>544</v>
      </c>
      <c r="L38" s="164"/>
      <c r="M38" s="168">
        <v>-824506.68</v>
      </c>
      <c r="N38" s="167"/>
      <c r="O38" s="170">
        <f t="shared" si="2"/>
        <v>0.45850000000000002</v>
      </c>
      <c r="P38" s="167"/>
      <c r="Q38" s="168">
        <f t="shared" si="0"/>
        <v>-378036.31278000004</v>
      </c>
      <c r="R38" s="167"/>
      <c r="S38" s="130"/>
      <c r="T38" s="167" t="str">
        <f t="shared" si="3"/>
        <v>2020C</v>
      </c>
      <c r="V38" s="160" t="s">
        <v>581</v>
      </c>
      <c r="W38" s="161">
        <v>0.36549999999999999</v>
      </c>
    </row>
    <row r="39" spans="1:23">
      <c r="A39" s="163">
        <f t="shared" si="1"/>
        <v>28</v>
      </c>
      <c r="B39" s="164"/>
      <c r="C39" s="165">
        <v>2027</v>
      </c>
      <c r="D39" s="166"/>
      <c r="E39" s="166">
        <v>429000</v>
      </c>
      <c r="F39" s="167"/>
      <c r="G39" s="164" t="s">
        <v>531</v>
      </c>
      <c r="H39" s="167"/>
      <c r="I39" s="166">
        <v>1074</v>
      </c>
      <c r="J39" s="167"/>
      <c r="K39" s="164" t="s">
        <v>545</v>
      </c>
      <c r="L39" s="164"/>
      <c r="M39" s="168">
        <v>-712723.55999999994</v>
      </c>
      <c r="N39" s="167"/>
      <c r="O39" s="170">
        <f t="shared" si="2"/>
        <v>0.49309999999999998</v>
      </c>
      <c r="P39" s="167"/>
      <c r="Q39" s="168">
        <f t="shared" si="0"/>
        <v>-351443.98743599997</v>
      </c>
      <c r="R39" s="167"/>
      <c r="S39" s="130"/>
      <c r="T39" s="167" t="str">
        <f t="shared" si="3"/>
        <v>2021A</v>
      </c>
      <c r="V39" s="160" t="s">
        <v>582</v>
      </c>
      <c r="W39" s="161">
        <v>0</v>
      </c>
    </row>
    <row r="40" spans="1:23">
      <c r="A40" s="163">
        <f t="shared" si="1"/>
        <v>29</v>
      </c>
      <c r="B40" s="164"/>
      <c r="C40" s="165">
        <v>2027</v>
      </c>
      <c r="D40" s="166"/>
      <c r="E40" s="166">
        <v>429000</v>
      </c>
      <c r="F40" s="167"/>
      <c r="G40" s="164" t="s">
        <v>531</v>
      </c>
      <c r="H40" s="167"/>
      <c r="I40" s="166">
        <v>1075</v>
      </c>
      <c r="J40" s="167"/>
      <c r="K40" s="164" t="s">
        <v>546</v>
      </c>
      <c r="L40" s="164"/>
      <c r="M40" s="168">
        <v>-1517643.24</v>
      </c>
      <c r="N40" s="167"/>
      <c r="O40" s="170">
        <f t="shared" si="2"/>
        <v>0.624</v>
      </c>
      <c r="P40" s="167"/>
      <c r="Q40" s="168">
        <f t="shared" si="0"/>
        <v>-947009.38176000002</v>
      </c>
      <c r="R40" s="167"/>
      <c r="S40" s="130"/>
      <c r="T40" s="167" t="str">
        <f t="shared" si="3"/>
        <v>2021B</v>
      </c>
      <c r="V40" s="160" t="s">
        <v>583</v>
      </c>
      <c r="W40" s="161">
        <v>0.31109999999999999</v>
      </c>
    </row>
    <row r="41" spans="1:23">
      <c r="A41" s="163">
        <f t="shared" si="1"/>
        <v>30</v>
      </c>
      <c r="B41" s="164"/>
      <c r="C41" s="165">
        <v>2027</v>
      </c>
      <c r="D41" s="166"/>
      <c r="E41" s="166">
        <v>429000</v>
      </c>
      <c r="F41" s="167"/>
      <c r="G41" s="164" t="s">
        <v>531</v>
      </c>
      <c r="H41" s="167"/>
      <c r="I41" s="166">
        <v>1076</v>
      </c>
      <c r="J41" s="167"/>
      <c r="K41" s="164" t="s">
        <v>547</v>
      </c>
      <c r="L41" s="164"/>
      <c r="M41" s="168">
        <v>-687468.24049586791</v>
      </c>
      <c r="N41" s="167"/>
      <c r="O41" s="170">
        <f t="shared" si="2"/>
        <v>0.2742</v>
      </c>
      <c r="P41" s="167"/>
      <c r="Q41" s="168">
        <f t="shared" si="0"/>
        <v>-188503.79154396697</v>
      </c>
      <c r="R41" s="167"/>
      <c r="S41" s="130"/>
      <c r="T41" s="167" t="str">
        <f t="shared" si="3"/>
        <v>2022A</v>
      </c>
      <c r="V41" s="160" t="s">
        <v>584</v>
      </c>
      <c r="W41" s="161">
        <v>0.11137787706036385</v>
      </c>
    </row>
    <row r="42" spans="1:23">
      <c r="A42" s="163">
        <f t="shared" si="1"/>
        <v>31</v>
      </c>
      <c r="B42" s="164"/>
      <c r="C42" s="165">
        <v>2027</v>
      </c>
      <c r="D42" s="166"/>
      <c r="E42" s="166">
        <v>429000</v>
      </c>
      <c r="F42" s="167"/>
      <c r="G42" s="164" t="s">
        <v>531</v>
      </c>
      <c r="H42" s="167"/>
      <c r="I42" s="166">
        <v>1077</v>
      </c>
      <c r="J42" s="167"/>
      <c r="K42" s="164" t="s">
        <v>548</v>
      </c>
      <c r="L42" s="164"/>
      <c r="M42" s="168">
        <v>-570336.12</v>
      </c>
      <c r="N42" s="167"/>
      <c r="O42" s="170">
        <f t="shared" si="2"/>
        <v>0.58309999999999995</v>
      </c>
      <c r="P42" s="167"/>
      <c r="Q42" s="168">
        <f t="shared" si="0"/>
        <v>-332562.99157199997</v>
      </c>
      <c r="R42" s="167"/>
      <c r="S42" s="130"/>
      <c r="T42" s="167" t="str">
        <f t="shared" si="3"/>
        <v>2022B</v>
      </c>
      <c r="V42" s="160" t="s">
        <v>585</v>
      </c>
      <c r="W42" s="161">
        <v>0.99778009156635328</v>
      </c>
    </row>
    <row r="43" spans="1:23">
      <c r="A43" s="163">
        <f t="shared" si="1"/>
        <v>32</v>
      </c>
      <c r="B43" s="164"/>
      <c r="C43" s="165">
        <v>2027</v>
      </c>
      <c r="D43" s="166"/>
      <c r="E43" s="166">
        <v>429000</v>
      </c>
      <c r="F43" s="167"/>
      <c r="G43" s="164" t="s">
        <v>531</v>
      </c>
      <c r="H43" s="167"/>
      <c r="I43" s="166">
        <v>1078</v>
      </c>
      <c r="J43" s="167"/>
      <c r="K43" s="164" t="s">
        <v>549</v>
      </c>
      <c r="L43" s="164"/>
      <c r="M43" s="168">
        <v>-755422.44000000006</v>
      </c>
      <c r="N43" s="167"/>
      <c r="O43" s="170">
        <f t="shared" si="2"/>
        <v>0.51939999999999997</v>
      </c>
      <c r="P43" s="167"/>
      <c r="Q43" s="168">
        <f t="shared" si="0"/>
        <v>-392366.41533600003</v>
      </c>
      <c r="R43" s="167"/>
      <c r="S43" s="130"/>
      <c r="T43" s="167" t="str">
        <f t="shared" si="3"/>
        <v>2023A</v>
      </c>
      <c r="V43" s="160" t="s">
        <v>586</v>
      </c>
      <c r="W43" s="161">
        <v>0.45850000000000002</v>
      </c>
    </row>
    <row r="44" spans="1:23">
      <c r="A44" s="163">
        <f t="shared" si="1"/>
        <v>33</v>
      </c>
      <c r="B44" s="164"/>
      <c r="C44" s="165">
        <v>2027</v>
      </c>
      <c r="D44" s="166"/>
      <c r="E44" s="166">
        <v>429000</v>
      </c>
      <c r="F44" s="167"/>
      <c r="G44" s="164" t="s">
        <v>531</v>
      </c>
      <c r="H44" s="167"/>
      <c r="I44" s="166">
        <v>1079</v>
      </c>
      <c r="J44" s="167"/>
      <c r="K44" s="164" t="s">
        <v>550</v>
      </c>
      <c r="L44" s="164"/>
      <c r="M44" s="168">
        <v>-889948.32</v>
      </c>
      <c r="N44" s="167"/>
      <c r="O44" s="170">
        <f t="shared" si="2"/>
        <v>0.21886583948074967</v>
      </c>
      <c r="P44" s="167"/>
      <c r="Q44" s="168">
        <f t="shared" si="0"/>
        <v>-194779.28615128284</v>
      </c>
      <c r="R44" s="167"/>
      <c r="S44" s="130"/>
      <c r="T44" s="167" t="str">
        <f t="shared" si="3"/>
        <v>2023B</v>
      </c>
      <c r="V44" s="160" t="s">
        <v>587</v>
      </c>
      <c r="W44" s="161">
        <v>0.49309999999999998</v>
      </c>
    </row>
    <row r="45" spans="1:23">
      <c r="A45" s="163">
        <f t="shared" si="1"/>
        <v>34</v>
      </c>
      <c r="B45" s="164"/>
      <c r="C45" s="165">
        <v>2027</v>
      </c>
      <c r="D45" s="166"/>
      <c r="E45" s="166">
        <v>429000</v>
      </c>
      <c r="F45" s="167"/>
      <c r="G45" s="164" t="s">
        <v>531</v>
      </c>
      <c r="H45" s="167"/>
      <c r="I45" s="166">
        <v>217</v>
      </c>
      <c r="J45" s="167"/>
      <c r="K45" s="164" t="s">
        <v>638</v>
      </c>
      <c r="L45" s="164"/>
      <c r="M45" s="168">
        <v>-1228583.5199999998</v>
      </c>
      <c r="N45" s="167"/>
      <c r="O45" s="170">
        <f t="shared" si="2"/>
        <v>0.62560000000000004</v>
      </c>
      <c r="P45" s="167"/>
      <c r="Q45" s="168">
        <f t="shared" si="0"/>
        <v>-768601.8501119999</v>
      </c>
      <c r="R45" s="167"/>
      <c r="S45" s="130"/>
      <c r="T45" s="167" t="str">
        <f t="shared" si="3"/>
        <v>2024A</v>
      </c>
      <c r="V45" s="160" t="s">
        <v>588</v>
      </c>
      <c r="W45" s="161">
        <v>0.624</v>
      </c>
    </row>
    <row r="46" spans="1:23">
      <c r="A46" s="163">
        <f t="shared" si="1"/>
        <v>35</v>
      </c>
      <c r="B46" s="164"/>
      <c r="C46" s="165">
        <v>2027</v>
      </c>
      <c r="D46" s="166"/>
      <c r="E46" s="166">
        <v>429000</v>
      </c>
      <c r="F46" s="167"/>
      <c r="G46" s="164" t="s">
        <v>531</v>
      </c>
      <c r="H46" s="167"/>
      <c r="I46" s="166">
        <v>218</v>
      </c>
      <c r="J46" s="167"/>
      <c r="K46" s="164" t="s">
        <v>639</v>
      </c>
      <c r="L46" s="164"/>
      <c r="M46" s="168">
        <v>-563039.52000000014</v>
      </c>
      <c r="N46" s="167"/>
      <c r="O46" s="170">
        <f t="shared" si="2"/>
        <v>0.1145</v>
      </c>
      <c r="P46" s="167"/>
      <c r="Q46" s="168">
        <f t="shared" si="0"/>
        <v>-64468.025040000015</v>
      </c>
      <c r="R46" s="167"/>
      <c r="S46" s="130"/>
      <c r="T46" s="167" t="str">
        <f t="shared" si="3"/>
        <v>2024B</v>
      </c>
      <c r="V46" s="160" t="s">
        <v>589</v>
      </c>
      <c r="W46" s="161">
        <v>0.2742</v>
      </c>
    </row>
    <row r="47" spans="1:23">
      <c r="A47" s="163">
        <f t="shared" si="1"/>
        <v>36</v>
      </c>
      <c r="B47" s="164"/>
      <c r="C47" s="165">
        <v>2027</v>
      </c>
      <c r="D47" s="166"/>
      <c r="E47" s="166">
        <v>429000</v>
      </c>
      <c r="F47" s="167"/>
      <c r="G47" s="164" t="s">
        <v>531</v>
      </c>
      <c r="H47" s="167"/>
      <c r="I47" s="166">
        <v>219</v>
      </c>
      <c r="J47" s="167"/>
      <c r="K47" s="164" t="s">
        <v>701</v>
      </c>
      <c r="L47" s="164"/>
      <c r="M47" s="168">
        <v>-1386632.76</v>
      </c>
      <c r="N47" s="167"/>
      <c r="O47" s="170">
        <f t="shared" si="2"/>
        <v>0.66890000000000005</v>
      </c>
      <c r="P47" s="167"/>
      <c r="Q47" s="168">
        <f t="shared" si="0"/>
        <v>-927518.65316400002</v>
      </c>
      <c r="R47" s="167"/>
      <c r="S47" s="130"/>
      <c r="T47" s="167" t="str">
        <f t="shared" si="3"/>
        <v>2025A</v>
      </c>
      <c r="V47" s="160" t="s">
        <v>590</v>
      </c>
      <c r="W47" s="161">
        <v>0.58309999999999995</v>
      </c>
    </row>
    <row r="48" spans="1:23">
      <c r="A48" s="163">
        <f t="shared" si="1"/>
        <v>37</v>
      </c>
      <c r="B48" s="164"/>
      <c r="C48" s="165">
        <v>2027</v>
      </c>
      <c r="D48" s="166"/>
      <c r="E48" s="166">
        <v>429000</v>
      </c>
      <c r="F48" s="167"/>
      <c r="G48" s="164" t="s">
        <v>531</v>
      </c>
      <c r="H48" s="167"/>
      <c r="I48" s="166">
        <v>220</v>
      </c>
      <c r="J48" s="167"/>
      <c r="K48" s="164" t="s">
        <v>702</v>
      </c>
      <c r="L48" s="164"/>
      <c r="M48" s="168">
        <v>-591904.19999999995</v>
      </c>
      <c r="N48" s="167"/>
      <c r="O48" s="170">
        <f t="shared" si="2"/>
        <v>0.24529999999999999</v>
      </c>
      <c r="P48" s="167"/>
      <c r="Q48" s="168">
        <f t="shared" si="0"/>
        <v>-145194.10025999998</v>
      </c>
      <c r="R48" s="167"/>
      <c r="S48" s="130"/>
      <c r="T48" s="167" t="str">
        <f t="shared" si="3"/>
        <v>2025B</v>
      </c>
      <c r="V48" s="160" t="s">
        <v>591</v>
      </c>
      <c r="W48" s="161">
        <v>0.51939999999999997</v>
      </c>
    </row>
    <row r="49" spans="1:23">
      <c r="A49" s="163">
        <f t="shared" si="1"/>
        <v>38</v>
      </c>
      <c r="B49" s="164"/>
      <c r="C49" s="165">
        <v>2027</v>
      </c>
      <c r="D49" s="164"/>
      <c r="E49" s="164">
        <v>429100</v>
      </c>
      <c r="F49" s="167"/>
      <c r="G49" s="164" t="s">
        <v>637</v>
      </c>
      <c r="H49" s="167"/>
      <c r="I49" s="164">
        <v>1016</v>
      </c>
      <c r="J49" s="167"/>
      <c r="K49" s="164" t="s">
        <v>640</v>
      </c>
      <c r="L49" s="164"/>
      <c r="M49" s="168">
        <v>-120646.94</v>
      </c>
      <c r="N49" s="167"/>
      <c r="O49" s="170">
        <f t="shared" si="2"/>
        <v>0.31230000000000002</v>
      </c>
      <c r="P49" s="167"/>
      <c r="Q49" s="168">
        <f t="shared" si="0"/>
        <v>-37678.039362000003</v>
      </c>
      <c r="R49" s="167"/>
      <c r="S49" s="130"/>
      <c r="T49" s="167" t="str">
        <f t="shared" si="3"/>
        <v>2000A</v>
      </c>
      <c r="V49" s="160" t="s">
        <v>592</v>
      </c>
      <c r="W49" s="161">
        <v>0.21886583948074967</v>
      </c>
    </row>
    <row r="50" spans="1:23">
      <c r="A50" s="163">
        <f t="shared" si="1"/>
        <v>39</v>
      </c>
      <c r="B50" s="164"/>
      <c r="C50" s="165">
        <v>2027</v>
      </c>
      <c r="D50" s="164"/>
      <c r="E50" s="164">
        <v>429100</v>
      </c>
      <c r="F50" s="167"/>
      <c r="G50" s="164" t="s">
        <v>637</v>
      </c>
      <c r="H50" s="167"/>
      <c r="I50" s="164">
        <v>1071</v>
      </c>
      <c r="J50" s="167"/>
      <c r="K50" s="164" t="s">
        <v>641</v>
      </c>
      <c r="L50" s="164"/>
      <c r="M50" s="168">
        <v>-376638.71999999997</v>
      </c>
      <c r="N50" s="167"/>
      <c r="O50" s="170">
        <f t="shared" si="2"/>
        <v>0.11137787706036385</v>
      </c>
      <c r="P50" s="167"/>
      <c r="Q50" s="168">
        <f t="shared" si="0"/>
        <v>-41949.221052332803</v>
      </c>
      <c r="R50" s="167"/>
      <c r="S50" s="130"/>
      <c r="T50" s="167" t="str">
        <f t="shared" si="3"/>
        <v>2020A</v>
      </c>
      <c r="V50" s="160" t="s">
        <v>616</v>
      </c>
      <c r="W50" s="161">
        <v>0.62560000000000004</v>
      </c>
    </row>
    <row r="51" spans="1:23">
      <c r="A51" s="163">
        <f t="shared" si="1"/>
        <v>40</v>
      </c>
      <c r="B51" s="164"/>
      <c r="C51" s="165">
        <v>2027</v>
      </c>
      <c r="D51" s="164"/>
      <c r="E51" s="164">
        <v>429100</v>
      </c>
      <c r="F51" s="167"/>
      <c r="G51" s="164" t="s">
        <v>637</v>
      </c>
      <c r="H51" s="167"/>
      <c r="I51" s="164">
        <v>1072</v>
      </c>
      <c r="J51" s="167"/>
      <c r="K51" s="164" t="s">
        <v>642</v>
      </c>
      <c r="L51" s="164"/>
      <c r="M51" s="168">
        <v>-88914.84</v>
      </c>
      <c r="N51" s="167"/>
      <c r="O51" s="170">
        <f t="shared" si="2"/>
        <v>0.99778009156635328</v>
      </c>
      <c r="P51" s="167"/>
      <c r="Q51" s="168">
        <f t="shared" si="0"/>
        <v>-88717.457196807649</v>
      </c>
      <c r="R51" s="167"/>
      <c r="S51" s="130"/>
      <c r="T51" s="167" t="str">
        <f t="shared" si="3"/>
        <v>2020B</v>
      </c>
      <c r="V51" s="160" t="s">
        <v>617</v>
      </c>
      <c r="W51" s="161">
        <v>0.1145</v>
      </c>
    </row>
    <row r="52" spans="1:23">
      <c r="A52" s="163">
        <f t="shared" si="1"/>
        <v>41</v>
      </c>
      <c r="B52" s="164"/>
      <c r="C52" s="165">
        <v>2027</v>
      </c>
      <c r="D52" s="164"/>
      <c r="E52" s="164">
        <v>429100</v>
      </c>
      <c r="F52" s="167"/>
      <c r="G52" s="164" t="s">
        <v>637</v>
      </c>
      <c r="H52" s="167"/>
      <c r="I52" s="164">
        <v>1074</v>
      </c>
      <c r="J52" s="167"/>
      <c r="K52" s="164" t="s">
        <v>643</v>
      </c>
      <c r="L52" s="164"/>
      <c r="M52" s="168">
        <v>-814374.48</v>
      </c>
      <c r="N52" s="167"/>
      <c r="O52" s="170">
        <f t="shared" si="2"/>
        <v>0.49309999999999998</v>
      </c>
      <c r="P52" s="167"/>
      <c r="Q52" s="168">
        <f t="shared" si="0"/>
        <v>-401568.05608799995</v>
      </c>
      <c r="R52" s="167"/>
      <c r="S52" s="130"/>
      <c r="T52" s="167" t="str">
        <f t="shared" si="3"/>
        <v>2021A</v>
      </c>
      <c r="V52" s="160" t="s">
        <v>697</v>
      </c>
      <c r="W52" s="161">
        <v>0.66890000000000005</v>
      </c>
    </row>
    <row r="53" spans="1:23">
      <c r="A53" s="163">
        <f t="shared" si="1"/>
        <v>42</v>
      </c>
      <c r="B53" s="164"/>
      <c r="C53" s="165">
        <v>2027</v>
      </c>
      <c r="D53" s="164"/>
      <c r="E53" s="164">
        <v>429100</v>
      </c>
      <c r="F53" s="167"/>
      <c r="G53" s="164" t="s">
        <v>637</v>
      </c>
      <c r="H53" s="167"/>
      <c r="I53" s="164">
        <v>1076</v>
      </c>
      <c r="J53" s="167"/>
      <c r="K53" s="164" t="s">
        <v>644</v>
      </c>
      <c r="L53" s="164"/>
      <c r="M53" s="168">
        <v>-740199</v>
      </c>
      <c r="N53" s="167"/>
      <c r="O53" s="170">
        <f t="shared" si="2"/>
        <v>0.2742</v>
      </c>
      <c r="P53" s="167"/>
      <c r="Q53" s="168">
        <f t="shared" si="0"/>
        <v>-202962.56580000001</v>
      </c>
      <c r="R53" s="167"/>
      <c r="S53" s="130"/>
      <c r="T53" s="167" t="str">
        <f t="shared" si="3"/>
        <v>2022A</v>
      </c>
      <c r="V53" s="160" t="s">
        <v>698</v>
      </c>
      <c r="W53" s="161">
        <v>0.24529999999999999</v>
      </c>
    </row>
    <row r="54" spans="1:23">
      <c r="A54" s="163">
        <f t="shared" si="1"/>
        <v>43</v>
      </c>
      <c r="B54" s="164"/>
      <c r="C54" s="165">
        <v>2027</v>
      </c>
      <c r="D54" s="164"/>
      <c r="E54" s="164">
        <v>429100</v>
      </c>
      <c r="F54" s="167"/>
      <c r="G54" s="164" t="s">
        <v>637</v>
      </c>
      <c r="H54" s="167"/>
      <c r="I54" s="164">
        <v>1079</v>
      </c>
      <c r="J54" s="167"/>
      <c r="K54" s="164" t="s">
        <v>645</v>
      </c>
      <c r="L54" s="164"/>
      <c r="M54" s="168">
        <v>-576516.36</v>
      </c>
      <c r="N54" s="167"/>
      <c r="O54" s="170">
        <f t="shared" si="2"/>
        <v>0.21886583948074967</v>
      </c>
      <c r="P54" s="167"/>
      <c r="Q54" s="168">
        <f t="shared" si="0"/>
        <v>-126179.73710578609</v>
      </c>
      <c r="R54" s="167"/>
      <c r="S54" s="130"/>
      <c r="T54" s="167" t="str">
        <f t="shared" si="3"/>
        <v>2023B</v>
      </c>
    </row>
    <row r="55" spans="1:23">
      <c r="A55" s="163">
        <f t="shared" si="1"/>
        <v>44</v>
      </c>
      <c r="B55" s="164"/>
      <c r="C55" s="165">
        <v>2027</v>
      </c>
      <c r="D55" s="164"/>
      <c r="E55" s="164">
        <v>429100</v>
      </c>
      <c r="F55" s="167"/>
      <c r="G55" s="164" t="s">
        <v>637</v>
      </c>
      <c r="H55" s="167"/>
      <c r="I55" s="164">
        <v>218</v>
      </c>
      <c r="J55" s="167"/>
      <c r="K55" s="164" t="s">
        <v>646</v>
      </c>
      <c r="L55" s="164"/>
      <c r="M55" s="168">
        <v>-572887.07999999996</v>
      </c>
      <c r="N55" s="167"/>
      <c r="O55" s="170">
        <f t="shared" si="2"/>
        <v>0.1145</v>
      </c>
      <c r="P55" s="167"/>
      <c r="Q55" s="168">
        <f t="shared" si="0"/>
        <v>-65595.570659999998</v>
      </c>
      <c r="R55" s="167"/>
      <c r="S55" s="130"/>
      <c r="T55" s="167" t="str">
        <f t="shared" si="3"/>
        <v>2024B</v>
      </c>
    </row>
    <row r="56" spans="1:23">
      <c r="A56" s="163">
        <f t="shared" si="1"/>
        <v>45</v>
      </c>
      <c r="B56" s="164"/>
      <c r="C56" s="165">
        <v>2027</v>
      </c>
      <c r="D56" s="164"/>
      <c r="E56" s="164">
        <v>429100</v>
      </c>
      <c r="F56" s="167"/>
      <c r="G56" s="164" t="s">
        <v>637</v>
      </c>
      <c r="H56" s="167"/>
      <c r="I56" s="164">
        <v>220</v>
      </c>
      <c r="J56" s="167"/>
      <c r="K56" s="164" t="s">
        <v>700</v>
      </c>
      <c r="L56" s="164"/>
      <c r="M56" s="168">
        <v>-722928.6</v>
      </c>
      <c r="N56" s="167"/>
      <c r="O56" s="170">
        <f t="shared" si="2"/>
        <v>0.24529999999999999</v>
      </c>
      <c r="P56" s="167"/>
      <c r="Q56" s="168">
        <f>IFERROR(M56*O56,"")</f>
        <v>-177334.38557999997</v>
      </c>
      <c r="R56" s="167"/>
      <c r="S56" s="130"/>
      <c r="T56" s="167" t="str">
        <f t="shared" si="3"/>
        <v>2025B</v>
      </c>
      <c r="V56" s="160"/>
      <c r="W56" s="161"/>
    </row>
    <row r="57" spans="1:23">
      <c r="A57" s="163">
        <f t="shared" si="1"/>
        <v>46</v>
      </c>
      <c r="B57" s="164"/>
      <c r="C57" s="165"/>
      <c r="D57" s="164"/>
      <c r="E57" s="164"/>
      <c r="F57" s="167"/>
      <c r="G57" s="164"/>
      <c r="H57" s="167"/>
      <c r="I57" s="164"/>
      <c r="J57" s="167"/>
      <c r="K57" s="164"/>
      <c r="L57" s="164"/>
      <c r="M57" s="168"/>
      <c r="N57" s="167"/>
      <c r="O57" s="170"/>
      <c r="P57" s="167"/>
      <c r="Q57" s="171"/>
      <c r="R57" s="167"/>
      <c r="S57" s="130"/>
    </row>
    <row r="58" spans="1:23">
      <c r="A58" s="163">
        <f t="shared" si="1"/>
        <v>47</v>
      </c>
      <c r="B58" s="164"/>
      <c r="C58" s="165"/>
      <c r="D58" s="164"/>
      <c r="E58" s="164"/>
      <c r="F58" s="167"/>
      <c r="G58" s="164"/>
      <c r="H58" s="167"/>
      <c r="I58" s="164"/>
      <c r="J58" s="167"/>
      <c r="K58" s="164"/>
      <c r="L58" s="164"/>
      <c r="M58" s="172"/>
      <c r="N58" s="167"/>
      <c r="O58" s="171"/>
      <c r="P58" s="167"/>
      <c r="Q58" s="171"/>
      <c r="R58" s="167"/>
      <c r="S58" s="130"/>
    </row>
    <row r="59" spans="1:23">
      <c r="A59" s="163">
        <f t="shared" si="1"/>
        <v>48</v>
      </c>
      <c r="B59" s="164"/>
      <c r="C59" s="164"/>
      <c r="D59" s="164"/>
      <c r="E59" s="164"/>
      <c r="F59" s="167"/>
      <c r="G59" s="164"/>
      <c r="H59" s="167"/>
      <c r="I59" s="164"/>
      <c r="J59" s="167"/>
      <c r="K59" s="173" t="s">
        <v>145</v>
      </c>
      <c r="L59" s="164"/>
      <c r="M59" s="168"/>
      <c r="N59" s="171"/>
      <c r="O59" s="167"/>
      <c r="P59" s="164"/>
      <c r="Q59" s="168">
        <f>SUM(Q12:Q58)</f>
        <v>-7812174.6605550228</v>
      </c>
      <c r="R59" s="164"/>
      <c r="S59" s="130"/>
    </row>
    <row r="60" spans="1:23">
      <c r="A60" s="163"/>
      <c r="B60" s="164"/>
      <c r="C60" s="164"/>
      <c r="D60" s="164"/>
      <c r="E60" s="164"/>
      <c r="F60" s="167"/>
      <c r="G60" s="164"/>
      <c r="H60" s="167"/>
      <c r="I60" s="164"/>
      <c r="J60" s="167"/>
      <c r="K60" s="164"/>
      <c r="L60" s="164"/>
      <c r="M60" s="172"/>
      <c r="N60" s="164"/>
      <c r="O60" s="167"/>
      <c r="P60" s="164"/>
      <c r="Q60" s="167"/>
      <c r="R60" s="164"/>
      <c r="S60" s="130"/>
      <c r="W60" s="174"/>
    </row>
    <row r="61" spans="1:23">
      <c r="A61" s="163"/>
      <c r="B61" s="164"/>
      <c r="C61" s="164"/>
      <c r="D61" s="164"/>
      <c r="E61" s="164"/>
      <c r="F61" s="167"/>
      <c r="G61" s="164"/>
      <c r="H61" s="167"/>
      <c r="I61" s="164"/>
      <c r="J61" s="167"/>
      <c r="K61" s="164"/>
      <c r="L61" s="164"/>
      <c r="M61" s="172"/>
      <c r="N61" s="164"/>
      <c r="O61" s="167"/>
      <c r="P61" s="164"/>
      <c r="Q61" s="167"/>
      <c r="R61" s="164"/>
      <c r="S61" s="130"/>
    </row>
  </sheetData>
  <pageMargins left="0.7" right="0.7" top="0.75" bottom="0.75" header="0.3" footer="0.3"/>
  <pageSetup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15</vt:i4>
      </vt:variant>
    </vt:vector>
  </HeadingPairs>
  <TitlesOfParts>
    <vt:vector size="28" baseType="lpstr">
      <vt:lpstr>TOC</vt:lpstr>
      <vt:lpstr>WP1 Load Divisor</vt:lpstr>
      <vt:lpstr>WP2 O&amp;M - A&amp;G</vt:lpstr>
      <vt:lpstr>WP3 Elec Plant Summary</vt:lpstr>
      <vt:lpstr>WP4 Elec Plant YE</vt:lpstr>
      <vt:lpstr>WP5 Elec Plant 13-mo</vt:lpstr>
      <vt:lpstr>WP6 Capital Projects</vt:lpstr>
      <vt:lpstr>WP7 Debt Service and Interest</vt:lpstr>
      <vt:lpstr>WP8 Amortization of prem or dis</vt:lpstr>
      <vt:lpstr>WP9 Bond Issu Amort Exp Detail</vt:lpstr>
      <vt:lpstr>WP10 Account 456.1</vt:lpstr>
      <vt:lpstr>WP11 Misc Support</vt:lpstr>
      <vt:lpstr>Capital - Depreciation</vt:lpstr>
      <vt:lpstr>'WP4 Elec Plant YE'!DataRange</vt:lpstr>
      <vt:lpstr>'WP4 Elec Plant YE'!HeaderRange</vt:lpstr>
      <vt:lpstr>'WP1 Load Divisor'!Print_Area</vt:lpstr>
      <vt:lpstr>'WP10 Account 456.1'!Print_Area</vt:lpstr>
      <vt:lpstr>'WP6 Capital Projects'!Print_Area</vt:lpstr>
      <vt:lpstr>'WP7 Debt Service and Interest'!Print_Area</vt:lpstr>
      <vt:lpstr>'WP8 Amortization of prem or dis'!Print_Area</vt:lpstr>
      <vt:lpstr>'WP3 Elec Plant Summary'!Print_Titles</vt:lpstr>
      <vt:lpstr>'WP4 Elec Plant YE'!Print_Titles</vt:lpstr>
      <vt:lpstr>'WP6 Capital Projects'!Print_Titles</vt:lpstr>
      <vt:lpstr>'WP7 Debt Service and Interest'!Print_Titles</vt:lpstr>
      <vt:lpstr>'WP8 Amortization of prem or dis'!Print_Titles</vt:lpstr>
      <vt:lpstr>'WP4 Elec Plant YE'!SortRange</vt:lpstr>
      <vt:lpstr>'WP4 Elec Plant YE'!Titles</vt:lpstr>
      <vt:lpstr>'WP4 Elec Plant YE'!TopSection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Newby</dc:creator>
  <cp:lastModifiedBy>Thad Clardy</cp:lastModifiedBy>
  <cp:lastPrinted>2025-08-19T17:06:08Z</cp:lastPrinted>
  <dcterms:created xsi:type="dcterms:W3CDTF">2016-07-19T14:38:05Z</dcterms:created>
  <dcterms:modified xsi:type="dcterms:W3CDTF">2026-08-28T21:12:14Z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_AdHocReviewCycleID">
    <vt:i4>557227961</vt:i4>
  </property>
  <property fmtid="{D5CDD505-2E9C-101B-9397-08002B2CF9AE}" pid="4" name="_NewReviewCycle">
    <vt:lpwstr/>
  </property>
  <property fmtid="{D5CDD505-2E9C-101B-9397-08002B2CF9AE}" pid="5" name="_EmailSubject">
    <vt:lpwstr>CSU 2027 ATRR backup</vt:lpwstr>
  </property>
  <property fmtid="{D5CDD505-2E9C-101B-9397-08002B2CF9AE}" pid="6" name="_AuthorEmail">
    <vt:lpwstr>tclardy@csu.org</vt:lpwstr>
  </property>
  <property fmtid="{D5CDD505-2E9C-101B-9397-08002B2CF9AE}" pid="7" name="_AuthorEmailDisplayName">
    <vt:lpwstr>Thad Clardy</vt:lpwstr>
  </property>
</Properties>
</file>